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elf-Publishing\Calculators\"/>
    </mc:Choice>
  </mc:AlternateContent>
  <xr:revisionPtr revIDLastSave="0" documentId="13_ncr:1_{02813936-1857-466C-9FB3-F95388CC73F1}" xr6:coauthVersionLast="47" xr6:coauthVersionMax="47" xr10:uidLastSave="{00000000-0000-0000-0000-000000000000}"/>
  <workbookProtection workbookAlgorithmName="SHA-512" workbookHashValue="xv9QvlpM7UvK6AqkG4QgdNrpk6mg6YuRC2Oqnw9aSa7hSn/4HaN9JyYQu3Sl3oqGs7ZArRJulxSJnNgw8DHp9A==" workbookSaltValue="SRTYcaCnnAlZczPryJRgiQ==" workbookSpinCount="100000" lockStructure="1"/>
  <bookViews>
    <workbookView minimized="1" xWindow="-10" yWindow="0" windowWidth="9350" windowHeight="9910" xr2:uid="{6ED5A6D1-D880-48D3-A670-D7F2A5B3C69B}"/>
  </bookViews>
  <sheets>
    <sheet name="Front Sheet" sheetId="3" r:id="rId1"/>
    <sheet name="Calcs" sheetId="2" state="hidden" r:id="rId2"/>
    <sheet name="Notes" sheetId="4" state="hidden" r:id="rId3"/>
  </sheets>
  <definedNames>
    <definedName name="cartons">Calcs!$AN$3:$AN$4</definedName>
    <definedName name="casedFormat">Calcs!$U$4:$U$6</definedName>
    <definedName name="dest">Calcs!$AI$8:$AI$9</definedName>
    <definedName name="format">Calcs!$U$3:$U$6</definedName>
    <definedName name="formatList">_xlfn.ANCHORARRAY(Calcs!$AG$3)</definedName>
    <definedName name="illusExtent">Calcs!$K$3:$K$8</definedName>
    <definedName name="style">Calcs!$AI$3:$AI$4</definedName>
    <definedName name="styleList">_xlfn.ANCHORARRAY(Calcs!$AL$3)</definedName>
    <definedName name="textExtent">Calcs!$E$3:$E$99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" i="2" l="1"/>
  <c r="AO2" i="2" s="1"/>
  <c r="G72" i="3" s="1"/>
  <c r="R16" i="2" l="1"/>
  <c r="Q16" i="2"/>
  <c r="B85" i="2" l="1"/>
  <c r="R6" i="2"/>
  <c r="R7" i="2" s="1"/>
  <c r="AI7" i="2" l="1"/>
  <c r="AJ7" i="2" s="1"/>
  <c r="B58" i="2" s="1"/>
  <c r="B60" i="2" s="1"/>
  <c r="AI2" i="2" l="1"/>
  <c r="AG3" i="2" l="1" a="1"/>
  <c r="AG3" i="2" s="1"/>
  <c r="AJ2" i="2"/>
  <c r="B46" i="2" s="1"/>
  <c r="AK2" i="2"/>
  <c r="R2" i="2"/>
  <c r="R3" i="2" s="1"/>
  <c r="L2" i="2"/>
  <c r="F2" i="2"/>
  <c r="M2" i="2"/>
  <c r="G2" i="2"/>
  <c r="U2" i="2"/>
  <c r="K2" i="2"/>
  <c r="E2" i="2"/>
  <c r="AL3" i="2" l="1" a="1"/>
  <c r="AL3" i="2" s="1"/>
  <c r="AB2" i="2"/>
  <c r="AA2" i="2"/>
  <c r="Z2" i="2"/>
  <c r="V2" i="2"/>
  <c r="W2" i="2"/>
  <c r="X2" i="2"/>
  <c r="I2" i="2"/>
  <c r="O2" i="2"/>
  <c r="B80" i="2" l="1"/>
  <c r="B81" i="2"/>
  <c r="B116" i="2"/>
  <c r="C31" i="2"/>
  <c r="B92" i="2"/>
  <c r="B97" i="2" s="1"/>
  <c r="C63" i="2"/>
  <c r="B64" i="2"/>
  <c r="C64" i="2"/>
  <c r="S17" i="2"/>
  <c r="AE2" i="2"/>
  <c r="B101" i="2" s="1"/>
  <c r="C32" i="2"/>
  <c r="B31" i="2"/>
  <c r="S7" i="2" s="1"/>
  <c r="S16" i="2"/>
  <c r="N2" i="2"/>
  <c r="H2" i="2"/>
  <c r="B77" i="2" l="1"/>
  <c r="B76" i="2"/>
  <c r="C2" i="2"/>
  <c r="C50" i="3" s="1"/>
  <c r="S6" i="2"/>
  <c r="B32" i="2"/>
  <c r="S18" i="2"/>
  <c r="S19" i="2" s="1"/>
  <c r="S2" i="2"/>
  <c r="B29" i="2" s="1"/>
  <c r="S3" i="2"/>
  <c r="B30" i="2" s="1"/>
  <c r="C29" i="2" l="1"/>
  <c r="B2" i="2" s="1"/>
  <c r="E50" i="3" s="1"/>
  <c r="C30" i="2"/>
  <c r="B3" i="2" s="1"/>
  <c r="B53" i="2"/>
  <c r="C3" i="2"/>
  <c r="B47" i="2" l="1"/>
  <c r="Y2" i="2"/>
  <c r="B93" i="2" s="1"/>
  <c r="B96" i="2" l="1"/>
  <c r="AD2" i="2"/>
  <c r="B63" i="2" s="1"/>
  <c r="B6" i="2" l="1"/>
  <c r="I58" i="3" s="1"/>
  <c r="B5" i="2"/>
  <c r="G58" i="3" s="1"/>
  <c r="B48" i="2"/>
  <c r="B55" i="2" s="1"/>
  <c r="B4" i="2" s="1"/>
  <c r="B65" i="2" s="1"/>
  <c r="A48" i="2"/>
  <c r="C58" i="3" l="1"/>
  <c r="B72" i="2"/>
  <c r="B71" i="2"/>
  <c r="B86" i="2" s="1"/>
  <c r="S33" i="2" s="1"/>
  <c r="B94" i="2" s="1"/>
  <c r="C65" i="2"/>
  <c r="B8" i="2"/>
  <c r="E58" i="3" l="1"/>
  <c r="B75" i="2"/>
  <c r="B68" i="2"/>
  <c r="AC6" i="2"/>
  <c r="B87" i="2"/>
  <c r="B98" i="2"/>
  <c r="AC4" i="2"/>
  <c r="AC2" i="2" s="1"/>
  <c r="AF2" i="2" s="1"/>
  <c r="B107" i="2" s="1"/>
  <c r="B21" i="2" s="1"/>
  <c r="I74" i="3" s="1"/>
  <c r="AC5" i="2"/>
  <c r="B7" i="2"/>
  <c r="S26" i="2" l="1"/>
  <c r="B78" i="2" s="1"/>
  <c r="C69" i="2"/>
  <c r="C68" i="2" s="1"/>
  <c r="B18" i="2" s="1" a="1"/>
  <c r="B18" i="2" s="1"/>
  <c r="E66" i="3" s="1"/>
  <c r="B88" i="2"/>
  <c r="B89" i="2"/>
  <c r="K58" i="3"/>
  <c r="B13" i="2" a="1"/>
  <c r="B13" i="2" s="1"/>
  <c r="B90" i="2"/>
  <c r="B12" i="2" a="1"/>
  <c r="B12" i="2" s="1"/>
  <c r="B102" i="2"/>
  <c r="B14" i="2" l="1" a="1"/>
  <c r="B14" i="2" s="1"/>
  <c r="B17" i="2" s="1"/>
  <c r="K66" i="3" s="1"/>
  <c r="C72" i="2"/>
  <c r="B11" i="2" s="1" a="1"/>
  <c r="B11" i="2" s="1"/>
  <c r="C66" i="3" s="1"/>
  <c r="B82" i="2"/>
  <c r="B103" i="2"/>
  <c r="B105" i="2"/>
  <c r="B15" i="2"/>
  <c r="G66" i="3" s="1"/>
  <c r="B16" i="2"/>
  <c r="I66" i="3" s="1"/>
  <c r="B108" i="2" l="1"/>
  <c r="B104" i="2"/>
  <c r="B106" i="2"/>
  <c r="B109" i="2" l="1"/>
  <c r="B23" i="2" s="1"/>
  <c r="G74" i="3" s="1"/>
  <c r="B22" i="2"/>
  <c r="K74" i="3" s="1"/>
  <c r="B111" i="2"/>
  <c r="B25" i="2" s="1"/>
  <c r="M74" i="3" s="1"/>
  <c r="B110" i="2" l="1"/>
  <c r="B24" i="2" s="1"/>
  <c r="C74" i="3" s="1"/>
  <c r="B112" i="2"/>
  <c r="B26" i="2" s="1"/>
  <c r="E74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<sst xmlns="http://schemas.openxmlformats.org/spreadsheetml/2006/main" count="247" uniqueCount="154">
  <si>
    <t>Extent</t>
  </si>
  <si>
    <t>Text</t>
  </si>
  <si>
    <t>gsm</t>
  </si>
  <si>
    <t>Micron</t>
  </si>
  <si>
    <t>Gsm</t>
  </si>
  <si>
    <t>Illus</t>
  </si>
  <si>
    <t>Format</t>
  </si>
  <si>
    <t>A</t>
  </si>
  <si>
    <t>B</t>
  </si>
  <si>
    <t>Demy</t>
  </si>
  <si>
    <t>Royal</t>
  </si>
  <si>
    <t>Cover</t>
  </si>
  <si>
    <t>mic</t>
  </si>
  <si>
    <t>Bulk</t>
  </si>
  <si>
    <t>Weight</t>
  </si>
  <si>
    <t>H</t>
  </si>
  <si>
    <t>W</t>
  </si>
  <si>
    <t>kg</t>
  </si>
  <si>
    <t>Total</t>
  </si>
  <si>
    <t>bulk</t>
  </si>
  <si>
    <t>PB parcel base</t>
  </si>
  <si>
    <t>HB parcel base</t>
  </si>
  <si>
    <t>Style</t>
  </si>
  <si>
    <t>Paperback</t>
  </si>
  <si>
    <t>Cased</t>
  </si>
  <si>
    <t>Parcel kg</t>
  </si>
  <si>
    <t>Parcel H</t>
  </si>
  <si>
    <t>BPP</t>
  </si>
  <si>
    <t>BPP H</t>
  </si>
  <si>
    <t>BPP kg</t>
  </si>
  <si>
    <t>Margin</t>
  </si>
  <si>
    <t>Generic</t>
  </si>
  <si>
    <t>Min gsm</t>
  </si>
  <si>
    <t>Actual</t>
  </si>
  <si>
    <t>Max BPP</t>
  </si>
  <si>
    <t>Parcel L</t>
  </si>
  <si>
    <t>Parcel W</t>
  </si>
  <si>
    <t>n/a</t>
  </si>
  <si>
    <t>Parcel base</t>
  </si>
  <si>
    <t>Per Layer</t>
  </si>
  <si>
    <t>Layers</t>
  </si>
  <si>
    <t>Pallet H</t>
  </si>
  <si>
    <t>Load H</t>
  </si>
  <si>
    <t>Total H</t>
  </si>
  <si>
    <t>Pallet</t>
  </si>
  <si>
    <t>UK</t>
  </si>
  <si>
    <t>Export</t>
  </si>
  <si>
    <t>Dest.</t>
  </si>
  <si>
    <t>Destination</t>
  </si>
  <si>
    <t>BP Pallet</t>
  </si>
  <si>
    <t>PPP</t>
  </si>
  <si>
    <t>Packing kg</t>
  </si>
  <si>
    <t>Parcel</t>
  </si>
  <si>
    <t>Length</t>
  </si>
  <si>
    <t>Width</t>
  </si>
  <si>
    <t>Height</t>
  </si>
  <si>
    <t>Books</t>
  </si>
  <si>
    <t xml:space="preserve">Book </t>
  </si>
  <si>
    <t>Base</t>
  </si>
  <si>
    <t>Pallet kg</t>
  </si>
  <si>
    <t>Parcel, Carton 
&amp; Pallet Calculator</t>
  </si>
  <si>
    <t>Jacket</t>
  </si>
  <si>
    <t>Case Board</t>
  </si>
  <si>
    <t>for Parcels</t>
  </si>
  <si>
    <t>Jacket flaps</t>
  </si>
  <si>
    <t>Case</t>
  </si>
  <si>
    <t>Ends leaves</t>
  </si>
  <si>
    <t>Ends gsm</t>
  </si>
  <si>
    <t>H/T Squares</t>
  </si>
  <si>
    <t>FE Squares</t>
  </si>
  <si>
    <t>Turn-ins</t>
  </si>
  <si>
    <t>Cloth</t>
  </si>
  <si>
    <t>Ends</t>
  </si>
  <si>
    <t>Case Uplift</t>
  </si>
  <si>
    <t>List</t>
  </si>
  <si>
    <t>Illustrations</t>
  </si>
  <si>
    <t>PB parcel P base</t>
  </si>
  <si>
    <t xml:space="preserve">HB parcel P base </t>
  </si>
  <si>
    <t>PB carton P base</t>
  </si>
  <si>
    <t xml:space="preserve">HB carton P base </t>
  </si>
  <si>
    <t>TEXT</t>
  </si>
  <si>
    <t>Carton kg</t>
  </si>
  <si>
    <t>Carton mat. kg</t>
  </si>
  <si>
    <t>mm</t>
  </si>
  <si>
    <t>Carton</t>
  </si>
  <si>
    <t>Internal L</t>
  </si>
  <si>
    <t>Internal W</t>
  </si>
  <si>
    <t>Internal H</t>
  </si>
  <si>
    <t>Exernal L</t>
  </si>
  <si>
    <t>Exernal W</t>
  </si>
  <si>
    <t>Exernal H</t>
  </si>
  <si>
    <t>Books in pile</t>
  </si>
  <si>
    <t>Pile allowance</t>
  </si>
  <si>
    <t>Case allowance</t>
  </si>
  <si>
    <t>Pbk packing allowance</t>
  </si>
  <si>
    <t>Hbk packing allowance</t>
  </si>
  <si>
    <t>Cased 1 Pack</t>
  </si>
  <si>
    <t>Cased 2 Pack</t>
  </si>
  <si>
    <t>2 Pack</t>
  </si>
  <si>
    <t>Cartons</t>
  </si>
  <si>
    <t>Max Pallet</t>
  </si>
  <si>
    <t>Max Parcel H</t>
  </si>
  <si>
    <t>Max Parcel kg</t>
  </si>
  <si>
    <t>BPC</t>
  </si>
  <si>
    <t>Yes</t>
  </si>
  <si>
    <t>No</t>
  </si>
  <si>
    <t>External</t>
  </si>
  <si>
    <t>CPP</t>
  </si>
  <si>
    <t>Parcel BP Pallet</t>
  </si>
  <si>
    <t>Carton BP Pallet</t>
  </si>
  <si>
    <t>Parcel P Height</t>
  </si>
  <si>
    <t>Carton P Height</t>
  </si>
  <si>
    <t>Parcel P Weight</t>
  </si>
  <si>
    <t>Carton P Weight</t>
  </si>
  <si>
    <t>Parcels Per Layer</t>
  </si>
  <si>
    <t>Parcel Layers</t>
  </si>
  <si>
    <t>Cartons Per Layer</t>
  </si>
  <si>
    <t>Carton Layers</t>
  </si>
  <si>
    <t>Carton P base</t>
  </si>
  <si>
    <t>Parcel P base</t>
  </si>
  <si>
    <t>P/C PP</t>
  </si>
  <si>
    <t>Pallet Height</t>
  </si>
  <si>
    <t>Pallet Weight</t>
  </si>
  <si>
    <t>Hi Tom,</t>
  </si>
  <si>
    <t>Please see the confirmed breakdown below, which I have checked with Mark H and John F.</t>
  </si>
  <si>
    <t>The first draft of the calc to allow for ASDA / large euro pallets only and exclude Afmt HB as this is very rare.</t>
  </si>
  <si>
    <t>Wood thickness is 165mm for all pallets.</t>
  </si>
  <si>
    <t>UK: 1200mm – 165mm = 1035mm room for cartons</t>
  </si>
  <si>
    <t>Export: 1100mm – 165m = 935mm room for cartons</t>
  </si>
  <si>
    <t>Carton weight material = 0.5kg (per carton)</t>
  </si>
  <si>
    <t>Pallet weight material = 25kg per pallet</t>
  </si>
  <si>
    <t>Standard PAPERBACK PACKING:</t>
  </si>
  <si>
    <t>Copies parcel base</t>
  </si>
  <si>
    <t>Carton Pallet base</t>
  </si>
  <si>
    <t>Afmt</t>
  </si>
  <si>
    <t>Bfmt</t>
  </si>
  <si>
    <r>
      <t>Standard CASED PACKING</t>
    </r>
    <r>
      <rPr>
        <b/>
        <sz val="11"/>
        <color rgb="FF000000"/>
        <rFont val="Calibri"/>
        <family val="2"/>
      </rPr>
      <t>: ALL cased = 2 base [2x2 = 4 across if parcel/carton weighs under 7kg]</t>
    </r>
  </si>
  <si>
    <t>X</t>
  </si>
  <si>
    <t>BASED ON ADSA</t>
  </si>
  <si>
    <t>PALLETS ONLY</t>
  </si>
  <si>
    <t>[Old was 15 but recked with J.F. 26/4/23]</t>
  </si>
  <si>
    <t>Thank you,</t>
  </si>
  <si>
    <t>Sian</t>
  </si>
  <si>
    <t>Internal D1</t>
  </si>
  <si>
    <t>Internal D2</t>
  </si>
  <si>
    <t>Parcel D1</t>
  </si>
  <si>
    <t>Parcel D2</t>
  </si>
  <si>
    <t>Pallet*</t>
  </si>
  <si>
    <t>**inc. pallet material</t>
  </si>
  <si>
    <t>Weight**</t>
  </si>
  <si>
    <t>Height**</t>
  </si>
  <si>
    <t>*ASDA / Large Euro pallets (1200 x 1000mm)</t>
  </si>
  <si>
    <r>
      <rPr>
        <b/>
        <u/>
        <sz val="11"/>
        <rFont val="Calibri"/>
        <family val="2"/>
        <scheme val="minor"/>
      </rPr>
      <t>Please note</t>
    </r>
    <r>
      <rPr>
        <u/>
        <sz val="11"/>
        <rFont val="Calibri"/>
        <family val="2"/>
        <scheme val="minor"/>
      </rPr>
      <t xml:space="preserve">: 
</t>
    </r>
    <r>
      <rPr>
        <sz val="11"/>
        <rFont val="Calibri"/>
        <family val="2"/>
        <scheme val="minor"/>
      </rPr>
      <t>The results of this calculator
should be treated as a guide only</t>
    </r>
  </si>
  <si>
    <t>Fixed at 2500mic 1350gsm to match system calc.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</si>
</sst>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&quot;pp&quot;"/>
    <numFmt numFmtId="165" formatCode="0.0000"/>
    <numFmt numFmtId="166" formatCode="0.0"/>
    <numFmt numFmtId="167" formatCode="0.0\ &quot;mm&quot;;;;"/>
    <numFmt numFmtId="168" formatCode="0.000\ &quot;kg&quot;;;;"/>
    <numFmt numFmtId="169" formatCode="0;;;"/>
    <numFmt numFmtId="170" formatCode="0\ &quot;mm&quot;;;;"/>
    <numFmt numFmtId="171" formatCode="0.0\ &quot;kg&quot;;;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i/>
      <sz val="11"/>
      <color rgb="FF000000"/>
      <name val="Calibri"/>
      <family val="2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DDEBF7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0" fillId="2" borderId="0" xfId="0" applyFill="1"/>
    <xf numFmtId="0" fontId="2" fillId="3" borderId="0" xfId="0" applyFont="1" applyFill="1"/>
    <xf numFmtId="0" fontId="0" fillId="4" borderId="0" xfId="0" applyFill="1"/>
    <xf numFmtId="0" fontId="2" fillId="2" borderId="0" xfId="0" applyFont="1" applyFill="1"/>
    <xf numFmtId="0" fontId="2" fillId="4" borderId="0" xfId="0" applyFont="1" applyFill="1"/>
    <xf numFmtId="0" fontId="2" fillId="2" borderId="1" xfId="0" applyFont="1" applyFill="1" applyBorder="1"/>
    <xf numFmtId="165" fontId="2" fillId="2" borderId="0" xfId="0" applyNumberFormat="1" applyFont="1" applyFill="1"/>
    <xf numFmtId="2" fontId="2" fillId="2" borderId="0" xfId="0" applyNumberFormat="1" applyFont="1" applyFill="1"/>
    <xf numFmtId="1" fontId="0" fillId="2" borderId="0" xfId="0" applyNumberFormat="1" applyFill="1"/>
    <xf numFmtId="0" fontId="0" fillId="4" borderId="0" xfId="0" applyFill="1" applyAlignment="1">
      <alignment horizontal="right"/>
    </xf>
    <xf numFmtId="1" fontId="2" fillId="2" borderId="0" xfId="0" applyNumberFormat="1" applyFont="1" applyFill="1"/>
    <xf numFmtId="9" fontId="1" fillId="4" borderId="0" xfId="1" applyFont="1" applyFill="1"/>
    <xf numFmtId="0" fontId="0" fillId="5" borderId="0" xfId="0" applyFill="1" applyAlignment="1" applyProtection="1">
      <alignment vertical="center"/>
      <protection hidden="1"/>
    </xf>
    <xf numFmtId="0" fontId="2" fillId="6" borderId="0" xfId="0" applyFont="1" applyFill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0" fillId="6" borderId="0" xfId="0" applyFill="1" applyAlignment="1" applyProtection="1">
      <alignment vertical="center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0" fontId="0" fillId="6" borderId="0" xfId="0" applyFill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2" borderId="1" xfId="0" applyFont="1" applyFill="1" applyBorder="1" applyAlignment="1">
      <alignment horizontal="right"/>
    </xf>
    <xf numFmtId="0" fontId="0" fillId="10" borderId="0" xfId="0" applyFill="1" applyAlignment="1" applyProtection="1">
      <alignment vertical="center"/>
      <protection hidden="1"/>
    </xf>
    <xf numFmtId="0" fontId="0" fillId="10" borderId="0" xfId="0" applyFill="1" applyAlignment="1" applyProtection="1">
      <alignment horizontal="center" vertical="center"/>
      <protection locked="0" hidden="1"/>
    </xf>
    <xf numFmtId="164" fontId="0" fillId="10" borderId="0" xfId="0" applyNumberFormat="1" applyFill="1" applyAlignment="1" applyProtection="1">
      <alignment horizontal="center" vertical="center"/>
      <protection locked="0" hidden="1"/>
    </xf>
    <xf numFmtId="0" fontId="2" fillId="10" borderId="0" xfId="0" applyFont="1" applyFill="1" applyAlignment="1" applyProtection="1">
      <alignment horizontal="center" vertical="center"/>
      <protection hidden="1"/>
    </xf>
    <xf numFmtId="0" fontId="0" fillId="10" borderId="0" xfId="0" applyFill="1" applyAlignment="1" applyProtection="1">
      <alignment horizontal="center" vertical="center"/>
      <protection hidden="1"/>
    </xf>
    <xf numFmtId="167" fontId="0" fillId="9" borderId="0" xfId="0" applyNumberFormat="1" applyFill="1" applyAlignment="1" applyProtection="1">
      <alignment horizontal="center" vertical="center"/>
      <protection hidden="1"/>
    </xf>
    <xf numFmtId="168" fontId="3" fillId="9" borderId="0" xfId="0" applyNumberFormat="1" applyFont="1" applyFill="1" applyAlignment="1" applyProtection="1">
      <alignment horizontal="center" vertical="center"/>
      <protection hidden="1"/>
    </xf>
    <xf numFmtId="169" fontId="0" fillId="9" borderId="0" xfId="0" applyNumberFormat="1" applyFill="1" applyAlignment="1" applyProtection="1">
      <alignment horizontal="center" vertical="center"/>
      <protection hidden="1"/>
    </xf>
    <xf numFmtId="168" fontId="0" fillId="9" borderId="0" xfId="0" applyNumberFormat="1" applyFill="1" applyAlignment="1" applyProtection="1">
      <alignment horizontal="center" vertical="center"/>
      <protection hidden="1"/>
    </xf>
    <xf numFmtId="170" fontId="0" fillId="9" borderId="0" xfId="0" applyNumberFormat="1" applyFill="1" applyAlignment="1" applyProtection="1">
      <alignment horizontal="center" vertical="center"/>
      <protection hidden="1"/>
    </xf>
    <xf numFmtId="171" fontId="0" fillId="9" borderId="0" xfId="0" applyNumberFormat="1" applyFill="1" applyAlignment="1" applyProtection="1">
      <alignment horizontal="center" vertical="center"/>
      <protection hidden="1"/>
    </xf>
    <xf numFmtId="0" fontId="0" fillId="2" borderId="0" xfId="0" applyFill="1" applyAlignment="1">
      <alignment horizontal="center"/>
    </xf>
    <xf numFmtId="165" fontId="0" fillId="2" borderId="0" xfId="0" applyNumberFormat="1" applyFill="1"/>
    <xf numFmtId="2" fontId="0" fillId="2" borderId="0" xfId="0" applyNumberFormat="1" applyFill="1"/>
    <xf numFmtId="0" fontId="2" fillId="7" borderId="0" xfId="0" applyFont="1" applyFill="1"/>
    <xf numFmtId="0" fontId="0" fillId="10" borderId="0" xfId="0" applyFill="1"/>
    <xf numFmtId="0" fontId="2" fillId="8" borderId="0" xfId="0" applyFont="1" applyFill="1" applyAlignment="1" applyProtection="1">
      <alignment vertical="center"/>
      <protection hidden="1"/>
    </xf>
    <xf numFmtId="166" fontId="0" fillId="2" borderId="0" xfId="0" applyNumberFormat="1" applyFill="1"/>
    <xf numFmtId="0" fontId="5" fillId="5" borderId="0" xfId="0" applyFont="1" applyFill="1" applyAlignment="1" applyProtection="1">
      <alignment horizontal="left" vertical="center"/>
      <protection hidden="1"/>
    </xf>
    <xf numFmtId="0" fontId="5" fillId="5" borderId="0" xfId="0" applyFont="1" applyFill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9" fillId="11" borderId="0" xfId="0" applyFont="1" applyFill="1" applyAlignment="1">
      <alignment vertical="center"/>
    </xf>
    <xf numFmtId="0" fontId="7" fillId="0" borderId="0" xfId="0" applyFont="1"/>
    <xf numFmtId="0" fontId="10" fillId="11" borderId="0" xfId="0" applyFont="1" applyFill="1" applyAlignment="1">
      <alignment vertical="center"/>
    </xf>
    <xf numFmtId="0" fontId="9" fillId="11" borderId="2" xfId="0" applyFont="1" applyFill="1" applyBorder="1" applyAlignment="1">
      <alignment vertical="center"/>
    </xf>
    <xf numFmtId="0" fontId="9" fillId="11" borderId="0" xfId="0" applyFont="1" applyFill="1" applyAlignment="1">
      <alignment horizontal="right" vertical="center"/>
    </xf>
    <xf numFmtId="0" fontId="10" fillId="12" borderId="0" xfId="0" applyFont="1" applyFill="1" applyAlignment="1">
      <alignment vertical="center"/>
    </xf>
    <xf numFmtId="0" fontId="9" fillId="12" borderId="0" xfId="0" applyFont="1" applyFill="1" applyAlignment="1">
      <alignment vertical="center"/>
    </xf>
    <xf numFmtId="0" fontId="9" fillId="12" borderId="2" xfId="0" applyFont="1" applyFill="1" applyBorder="1" applyAlignment="1">
      <alignment vertical="center"/>
    </xf>
    <xf numFmtId="0" fontId="9" fillId="12" borderId="0" xfId="0" applyFont="1" applyFill="1" applyAlignment="1">
      <alignment horizontal="right" vertical="center"/>
    </xf>
    <xf numFmtId="0" fontId="11" fillId="12" borderId="0" xfId="0" applyFont="1" applyFill="1" applyAlignment="1">
      <alignment horizontal="right" vertical="center"/>
    </xf>
    <xf numFmtId="0" fontId="10" fillId="12" borderId="0" xfId="0" applyFont="1" applyFill="1" applyAlignment="1">
      <alignment horizontal="right" vertical="center"/>
    </xf>
    <xf numFmtId="0" fontId="6" fillId="8" borderId="0" xfId="0" applyFont="1" applyFill="1" applyAlignment="1" applyProtection="1">
      <alignment horizontal="center" vertical="center"/>
      <protection hidden="1"/>
    </xf>
    <xf numFmtId="0" fontId="13" fillId="10" borderId="0" xfId="0" applyFont="1" applyFill="1" applyAlignment="1" applyProtection="1">
      <alignment horizontal="center" vertical="center" wrapText="1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15" fillId="10" borderId="0" xfId="0" applyFont="1" applyFill="1" applyAlignment="1" applyProtection="1">
      <alignment horizontal="center" vertical="center" wrapText="1"/>
      <protection hidden="1"/>
    </xf>
    <xf numFmtId="0" fontId="8" fillId="11" borderId="0" xfId="0" applyFont="1" applyFill="1" applyAlignment="1">
      <alignment vertical="center"/>
    </xf>
    <xf numFmtId="0" fontId="8" fillId="12" borderId="0" xfId="0" applyFont="1" applyFill="1" applyAlignment="1">
      <alignment vertical="center"/>
    </xf>
    <xf numFmtId="0" fontId="12" fillId="12" borderId="0" xfId="0" applyFont="1" applyFill="1" applyAlignment="1">
      <alignment vertical="center"/>
    </xf>
    <xf numFmtId="0" fontId="10" fillId="12" borderId="0" xfId="0" applyFont="1" applyFill="1" applyAlignment="1">
      <alignment vertical="center"/>
    </xf>
  </cellXfs>
  <cellStyles count="2">
    <cellStyle name="Normal" xfId="0" builtinId="0"/>
    <cellStyle name="Per cent" xfId="1" builtinId="5"/>
  </cellStyles>
  <dxfs count="5">
    <dxf>
      <font>
        <color theme="2" tint="-0.24994659260841701"/>
      </font>
      <fill>
        <patternFill>
          <bgColor theme="2"/>
        </patternFill>
      </fill>
    </dxf>
    <dxf>
      <font>
        <color theme="2" tint="-0.24994659260841701"/>
      </font>
      <fill>
        <patternFill>
          <bgColor theme="2"/>
        </patternFill>
      </fill>
    </dxf>
    <dxf>
      <font>
        <color theme="2" tint="-0.24994659260841701"/>
      </font>
      <fill>
        <patternFill>
          <bgColor theme="2"/>
        </patternFill>
      </fill>
    </dxf>
    <dxf>
      <font>
        <color theme="2" tint="-0.24994659260841701"/>
      </font>
    </dxf>
    <dxf>
      <font>
        <color theme="2" tint="-0.24994659260841701"/>
      </font>
    </dxf>
  </dxfs>
  <tableStyles count="0" defaultTableStyle="TableStyleMedium2" defaultPivotStyle="PivotStyleLight16"/>
  <colors>
    <mruColors>
      <color rgb="FFE6E6E6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502399</xdr:colOff>
      <xdr:row>1</xdr:row>
      <xdr:rowOff>9525</xdr:rowOff>
    </xdr:from>
    <xdr:to>
      <xdr:col>14</xdr:col>
      <xdr:colOff>28961</xdr:colOff>
      <xdr:row>2</xdr:row>
      <xdr:rowOff>323850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09262F-AFD6-1B28-4E30-EEEA58F5E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2874" y="161925"/>
          <a:ext cx="1393462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B30D0-38A4-4B34-9E4B-4C568AB81050}">
  <sheetPr codeName="Sheet1"/>
  <dimension ref="A1:T79"/>
  <sheetViews>
    <sheetView showGridLines="0" showRowColHeaders="0" tabSelected="1" topLeftCell="A44" workbookViewId="0">
      <selection activeCell="E39" sqref="E39"/>
    </sheetView>
  </sheetViews>
  <sheetFormatPr defaultColWidth="0" defaultRowHeight="14.5" zeroHeight="1" x14ac:dyDescent="0.35"/>
  <cols>
    <col min="1" max="1" width="2.26953125" customWidth="1"/>
    <col min="2" max="2" width="1.26953125" customWidth="1"/>
    <col min="3" max="3" width="12.7265625" customWidth="1"/>
    <col min="4" max="4" width="0.453125" customWidth="1"/>
    <col min="5" max="5" width="12.7265625" customWidth="1"/>
    <col min="6" max="6" width="1.26953125" customWidth="1"/>
    <col min="7" max="7" width="12.7265625" customWidth="1"/>
    <col min="8" max="8" width="0.453125" customWidth="1"/>
    <col min="9" max="9" width="12.7265625" customWidth="1"/>
    <col min="10" max="10" width="0.453125" customWidth="1"/>
    <col min="11" max="11" width="12.7265625" customWidth="1"/>
    <col min="12" max="12" width="1.26953125" customWidth="1"/>
    <col min="13" max="13" width="12.7265625" customWidth="1"/>
    <col min="14" max="14" width="1.26953125" customWidth="1"/>
    <col min="15" max="15" width="2.26953125" customWidth="1"/>
    <col min="16" max="16" width="0.453125" hidden="1" customWidth="1"/>
    <col min="17" max="17" width="12.7265625" hidden="1" customWidth="1"/>
    <col min="18" max="18" width="1.26953125" hidden="1" customWidth="1"/>
    <col min="19" max="19" width="2.26953125" hidden="1" customWidth="1"/>
    <col min="20" max="20" width="0" hidden="1" customWidth="1"/>
    <col min="21" max="16384" width="9.1796875" hidden="1"/>
  </cols>
  <sheetData>
    <row r="1" spans="1:19" ht="12.65" customHeight="1" x14ac:dyDescent="0.3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ht="7.5" customHeight="1" x14ac:dyDescent="0.35">
      <c r="A2" s="22"/>
      <c r="B2" s="14"/>
      <c r="C2" s="14"/>
      <c r="D2" s="14"/>
      <c r="E2" s="14"/>
      <c r="F2" s="14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40" customHeight="1" x14ac:dyDescent="0.35">
      <c r="A3" s="22"/>
      <c r="B3" s="14"/>
      <c r="C3" s="58" t="s">
        <v>60</v>
      </c>
      <c r="D3" s="58"/>
      <c r="E3" s="58"/>
      <c r="F3" s="14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7.5" customHeight="1" x14ac:dyDescent="0.35">
      <c r="A4" s="22"/>
      <c r="B4" s="14"/>
      <c r="C4" s="14"/>
      <c r="D4" s="14"/>
      <c r="E4" s="14"/>
      <c r="F4" s="14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19" x14ac:dyDescent="0.35">
      <c r="A5" s="22"/>
      <c r="B5" s="14"/>
      <c r="C5" s="15" t="s">
        <v>6</v>
      </c>
      <c r="D5" s="16"/>
      <c r="E5" s="23" t="s">
        <v>8</v>
      </c>
      <c r="F5" s="14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1:19" ht="2.5" customHeight="1" x14ac:dyDescent="0.35">
      <c r="A6" s="22"/>
      <c r="B6" s="14"/>
      <c r="C6" s="17"/>
      <c r="D6" s="14"/>
      <c r="E6" s="18"/>
      <c r="F6" s="14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15" customHeight="1" x14ac:dyDescent="0.35">
      <c r="A7" s="22"/>
      <c r="B7" s="14"/>
      <c r="C7" s="15" t="s">
        <v>22</v>
      </c>
      <c r="D7" s="14"/>
      <c r="E7" s="23" t="s">
        <v>23</v>
      </c>
      <c r="F7" s="14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9" ht="7.5" customHeight="1" x14ac:dyDescent="0.35">
      <c r="A8" s="22"/>
      <c r="B8" s="14"/>
      <c r="C8" s="14"/>
      <c r="D8" s="14"/>
      <c r="E8" s="18"/>
      <c r="F8" s="14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x14ac:dyDescent="0.35">
      <c r="A9" s="22"/>
      <c r="B9" s="14"/>
      <c r="C9" s="15" t="s">
        <v>1</v>
      </c>
      <c r="D9" s="15"/>
      <c r="E9" s="19"/>
      <c r="F9" s="14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19" ht="2.5" customHeight="1" x14ac:dyDescent="0.35">
      <c r="A10" s="22"/>
      <c r="B10" s="14"/>
      <c r="C10" s="16"/>
      <c r="D10" s="16"/>
      <c r="E10" s="18"/>
      <c r="F10" s="14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spans="1:19" x14ac:dyDescent="0.35">
      <c r="A11" s="22"/>
      <c r="B11" s="14"/>
      <c r="C11" s="14" t="s">
        <v>0</v>
      </c>
      <c r="D11" s="14"/>
      <c r="E11" s="24">
        <v>432</v>
      </c>
      <c r="F11" s="14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19" ht="2.5" customHeight="1" x14ac:dyDescent="0.35">
      <c r="A12" s="22"/>
      <c r="B12" s="14"/>
      <c r="C12" s="14"/>
      <c r="D12" s="14"/>
      <c r="E12" s="14"/>
      <c r="F12" s="14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spans="1:19" x14ac:dyDescent="0.35">
      <c r="A13" s="22"/>
      <c r="B13" s="14"/>
      <c r="C13" s="14" t="s">
        <v>4</v>
      </c>
      <c r="D13" s="14"/>
      <c r="E13" s="23">
        <v>65</v>
      </c>
      <c r="F13" s="14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19" ht="2.5" customHeight="1" x14ac:dyDescent="0.35">
      <c r="A14" s="22"/>
      <c r="B14" s="14"/>
      <c r="C14" s="14"/>
      <c r="D14" s="14"/>
      <c r="E14" s="18"/>
      <c r="F14" s="14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5" spans="1:19" x14ac:dyDescent="0.35">
      <c r="A15" s="22"/>
      <c r="B15" s="14"/>
      <c r="C15" s="14" t="s">
        <v>3</v>
      </c>
      <c r="D15" s="14"/>
      <c r="E15" s="23">
        <v>138</v>
      </c>
      <c r="F15" s="14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</row>
    <row r="16" spans="1:19" ht="7.5" customHeight="1" x14ac:dyDescent="0.35">
      <c r="A16" s="22"/>
      <c r="B16" s="14"/>
      <c r="C16" s="14"/>
      <c r="D16" s="14"/>
      <c r="E16" s="14"/>
      <c r="F16" s="14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</row>
    <row r="17" spans="1:19" x14ac:dyDescent="0.35">
      <c r="A17" s="22"/>
      <c r="B17" s="14"/>
      <c r="C17" s="15" t="s">
        <v>75</v>
      </c>
      <c r="D17" s="15"/>
      <c r="E17" s="19"/>
      <c r="F17" s="14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</row>
    <row r="18" spans="1:19" ht="2.5" customHeight="1" x14ac:dyDescent="0.35">
      <c r="A18" s="22"/>
      <c r="B18" s="14"/>
      <c r="C18" s="16"/>
      <c r="D18" s="16"/>
      <c r="E18" s="18"/>
      <c r="F18" s="14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</row>
    <row r="19" spans="1:19" x14ac:dyDescent="0.35">
      <c r="A19" s="22"/>
      <c r="B19" s="14"/>
      <c r="C19" s="14" t="s">
        <v>0</v>
      </c>
      <c r="D19" s="14"/>
      <c r="E19" s="24">
        <v>8</v>
      </c>
      <c r="F19" s="14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</row>
    <row r="20" spans="1:19" ht="2.5" customHeight="1" x14ac:dyDescent="0.35">
      <c r="A20" s="22"/>
      <c r="B20" s="14"/>
      <c r="C20" s="14"/>
      <c r="D20" s="14"/>
      <c r="E20" s="18"/>
      <c r="F20" s="14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</row>
    <row r="21" spans="1:19" x14ac:dyDescent="0.35">
      <c r="A21" s="22"/>
      <c r="B21" s="14"/>
      <c r="C21" s="14" t="s">
        <v>4</v>
      </c>
      <c r="D21" s="14"/>
      <c r="E21" s="23">
        <v>115</v>
      </c>
      <c r="F21" s="14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</row>
    <row r="22" spans="1:19" ht="2.5" customHeight="1" x14ac:dyDescent="0.35">
      <c r="A22" s="22"/>
      <c r="B22" s="14"/>
      <c r="C22" s="14"/>
      <c r="D22" s="14"/>
      <c r="E22" s="18"/>
      <c r="F22" s="14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</row>
    <row r="23" spans="1:19" x14ac:dyDescent="0.35">
      <c r="A23" s="22"/>
      <c r="B23" s="14"/>
      <c r="C23" s="14" t="s">
        <v>3</v>
      </c>
      <c r="D23" s="14"/>
      <c r="E23" s="23">
        <v>85</v>
      </c>
      <c r="F23" s="14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</row>
    <row r="24" spans="1:19" ht="7.5" customHeight="1" x14ac:dyDescent="0.35">
      <c r="A24" s="22"/>
      <c r="B24" s="14"/>
      <c r="C24" s="14"/>
      <c r="D24" s="14"/>
      <c r="E24" s="18"/>
      <c r="F24" s="14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</row>
    <row r="25" spans="1:19" x14ac:dyDescent="0.35">
      <c r="A25" s="22"/>
      <c r="B25" s="14"/>
      <c r="C25" s="15" t="s">
        <v>11</v>
      </c>
      <c r="D25" s="15"/>
      <c r="E25" s="19"/>
      <c r="F25" s="14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</row>
    <row r="26" spans="1:19" ht="2.5" customHeight="1" x14ac:dyDescent="0.35">
      <c r="A26" s="22"/>
      <c r="B26" s="14"/>
      <c r="C26" s="16"/>
      <c r="D26" s="16"/>
      <c r="E26" s="18"/>
      <c r="F26" s="14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pans="1:19" x14ac:dyDescent="0.35">
      <c r="A27" s="22"/>
      <c r="B27" s="14"/>
      <c r="C27" s="14" t="s">
        <v>4</v>
      </c>
      <c r="D27" s="14"/>
      <c r="E27" s="23">
        <v>220</v>
      </c>
      <c r="F27" s="14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</row>
    <row r="28" spans="1:19" ht="7.5" customHeight="1" x14ac:dyDescent="0.35">
      <c r="A28" s="22"/>
      <c r="B28" s="14"/>
      <c r="C28" s="14"/>
      <c r="D28" s="14"/>
      <c r="E28" s="18"/>
      <c r="F28" s="14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spans="1:19" x14ac:dyDescent="0.35">
      <c r="A29" s="22"/>
      <c r="B29" s="14"/>
      <c r="C29" s="15" t="s">
        <v>61</v>
      </c>
      <c r="D29" s="15"/>
      <c r="E29" s="19"/>
      <c r="F29" s="14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</row>
    <row r="30" spans="1:19" ht="2.5" customHeight="1" x14ac:dyDescent="0.35">
      <c r="A30" s="22"/>
      <c r="B30" s="14"/>
      <c r="C30" s="16"/>
      <c r="D30" s="16"/>
      <c r="E30" s="18"/>
      <c r="F30" s="14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spans="1:19" x14ac:dyDescent="0.35">
      <c r="A31" s="22"/>
      <c r="B31" s="14"/>
      <c r="C31" s="14" t="s">
        <v>4</v>
      </c>
      <c r="D31" s="14"/>
      <c r="E31" s="23">
        <v>150</v>
      </c>
      <c r="F31" s="14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</row>
    <row r="32" spans="1:19" ht="7.5" hidden="1" customHeight="1" x14ac:dyDescent="0.35">
      <c r="A32" s="22"/>
      <c r="B32" s="14"/>
      <c r="C32" s="14"/>
      <c r="D32" s="14"/>
      <c r="E32" s="18"/>
      <c r="F32" s="14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spans="1:19" hidden="1" x14ac:dyDescent="0.35">
      <c r="A33" s="22"/>
      <c r="B33" s="14"/>
      <c r="C33" s="15" t="s">
        <v>62</v>
      </c>
      <c r="D33" s="15"/>
      <c r="E33" s="19"/>
      <c r="F33" s="14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</row>
    <row r="34" spans="1:19" ht="2.5" hidden="1" customHeight="1" x14ac:dyDescent="0.35">
      <c r="A34" s="22"/>
      <c r="B34" s="14"/>
      <c r="C34" s="16"/>
      <c r="D34" s="16"/>
      <c r="E34" s="18"/>
      <c r="F34" s="14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</row>
    <row r="35" spans="1:19" hidden="1" x14ac:dyDescent="0.35">
      <c r="A35" s="22"/>
      <c r="B35" s="14"/>
      <c r="C35" s="14" t="s">
        <v>3</v>
      </c>
      <c r="D35" s="14"/>
      <c r="E35" s="26">
        <v>2500</v>
      </c>
      <c r="F35" s="14"/>
      <c r="G35" s="59" t="s">
        <v>153</v>
      </c>
      <c r="H35" s="59"/>
      <c r="I35" s="59"/>
      <c r="J35" s="22"/>
      <c r="K35" s="22"/>
      <c r="L35" s="22"/>
      <c r="M35" s="22"/>
      <c r="N35" s="22"/>
      <c r="O35" s="22"/>
      <c r="P35" s="22"/>
      <c r="Q35" s="22"/>
      <c r="R35" s="22"/>
      <c r="S35" s="22"/>
    </row>
    <row r="36" spans="1:19" ht="2.5" hidden="1" customHeight="1" x14ac:dyDescent="0.35">
      <c r="A36" s="22"/>
      <c r="B36" s="14"/>
      <c r="C36" s="14"/>
      <c r="D36" s="14"/>
      <c r="E36" s="18"/>
      <c r="F36" s="14"/>
      <c r="G36" s="59"/>
      <c r="H36" s="59"/>
      <c r="I36" s="59"/>
      <c r="J36" s="22"/>
      <c r="K36" s="22"/>
      <c r="L36" s="22"/>
      <c r="M36" s="22"/>
      <c r="N36" s="22"/>
      <c r="O36" s="22"/>
      <c r="P36" s="22"/>
      <c r="Q36" s="22"/>
      <c r="R36" s="22"/>
      <c r="S36" s="22"/>
    </row>
    <row r="37" spans="1:19" hidden="1" x14ac:dyDescent="0.35">
      <c r="A37" s="22"/>
      <c r="B37" s="14"/>
      <c r="C37" s="14" t="s">
        <v>4</v>
      </c>
      <c r="D37" s="14"/>
      <c r="E37" s="26">
        <v>1350</v>
      </c>
      <c r="F37" s="14"/>
      <c r="G37" s="59"/>
      <c r="H37" s="59"/>
      <c r="I37" s="59"/>
      <c r="J37" s="22"/>
      <c r="K37" s="22"/>
      <c r="L37" s="22"/>
      <c r="M37" s="22"/>
      <c r="N37" s="22"/>
      <c r="O37" s="22"/>
      <c r="P37" s="22"/>
      <c r="Q37" s="22"/>
      <c r="R37" s="22"/>
      <c r="S37" s="22"/>
    </row>
    <row r="38" spans="1:19" x14ac:dyDescent="0.35">
      <c r="A38" s="22"/>
      <c r="B38" s="14"/>
      <c r="C38" s="14"/>
      <c r="D38" s="14"/>
      <c r="E38" s="14"/>
      <c r="F38" s="14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</row>
    <row r="39" spans="1:19" x14ac:dyDescent="0.35">
      <c r="A39" s="22"/>
      <c r="B39" s="14"/>
      <c r="C39" s="15" t="s">
        <v>99</v>
      </c>
      <c r="D39" s="14"/>
      <c r="E39" s="23" t="s">
        <v>104</v>
      </c>
      <c r="F39" s="14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</row>
    <row r="40" spans="1:19" x14ac:dyDescent="0.35">
      <c r="A40" s="22"/>
      <c r="B40" s="14"/>
      <c r="C40" s="14"/>
      <c r="D40" s="14"/>
      <c r="E40" s="14"/>
      <c r="F40" s="14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</row>
    <row r="41" spans="1:19" x14ac:dyDescent="0.35">
      <c r="A41" s="22"/>
      <c r="B41" s="14"/>
      <c r="C41" s="15" t="s">
        <v>48</v>
      </c>
      <c r="D41" s="14"/>
      <c r="E41" s="23" t="s">
        <v>45</v>
      </c>
      <c r="F41" s="14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</row>
    <row r="42" spans="1:19" ht="7.5" customHeight="1" x14ac:dyDescent="0.35">
      <c r="A42" s="22"/>
      <c r="B42" s="14"/>
      <c r="C42" s="14"/>
      <c r="D42" s="14"/>
      <c r="E42" s="18"/>
      <c r="F42" s="14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</row>
    <row r="43" spans="1:19" ht="7.5" customHeight="1" x14ac:dyDescent="0.3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</row>
    <row r="44" spans="1:19" ht="7.5" customHeight="1" x14ac:dyDescent="0.3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</row>
    <row r="45" spans="1:19" ht="7.5" customHeight="1" x14ac:dyDescent="0.35">
      <c r="A45" s="22"/>
      <c r="B45" s="14"/>
      <c r="C45" s="16"/>
      <c r="D45" s="14"/>
      <c r="E45" s="14"/>
      <c r="F45" s="14"/>
      <c r="G45" s="56" t="s">
        <v>152</v>
      </c>
      <c r="H45" s="56"/>
      <c r="I45" s="56"/>
      <c r="J45" s="56"/>
      <c r="K45" s="56"/>
      <c r="L45" s="22"/>
      <c r="M45" s="22"/>
      <c r="N45" s="22"/>
      <c r="O45" s="22"/>
      <c r="P45" s="22"/>
      <c r="Q45" s="22"/>
      <c r="R45" s="22"/>
      <c r="S45" s="22"/>
    </row>
    <row r="46" spans="1:19" ht="15" customHeight="1" x14ac:dyDescent="0.35">
      <c r="A46" s="22"/>
      <c r="B46" s="14"/>
      <c r="C46" s="57" t="s">
        <v>57</v>
      </c>
      <c r="D46" s="57"/>
      <c r="E46" s="57"/>
      <c r="F46" s="18"/>
      <c r="G46" s="56"/>
      <c r="H46" s="56"/>
      <c r="I46" s="56"/>
      <c r="J46" s="56"/>
      <c r="K46" s="56"/>
      <c r="L46" s="22"/>
      <c r="M46" s="22"/>
      <c r="N46" s="22"/>
      <c r="O46" s="22"/>
      <c r="P46" s="22"/>
      <c r="Q46" s="22"/>
      <c r="R46" s="22"/>
      <c r="S46" s="22"/>
    </row>
    <row r="47" spans="1:19" ht="5.15" customHeight="1" x14ac:dyDescent="0.35">
      <c r="A47" s="22"/>
      <c r="B47" s="14"/>
      <c r="C47" s="20"/>
      <c r="D47" s="14"/>
      <c r="E47" s="20"/>
      <c r="F47" s="18"/>
      <c r="G47" s="56"/>
      <c r="H47" s="56"/>
      <c r="I47" s="56"/>
      <c r="J47" s="56"/>
      <c r="K47" s="56"/>
      <c r="L47" s="22"/>
      <c r="M47" s="22"/>
      <c r="N47" s="22"/>
      <c r="O47" s="22"/>
      <c r="P47" s="22"/>
      <c r="Q47" s="22"/>
      <c r="R47" s="22"/>
      <c r="S47" s="22"/>
    </row>
    <row r="48" spans="1:19" x14ac:dyDescent="0.35">
      <c r="A48" s="22"/>
      <c r="B48" s="14"/>
      <c r="C48" s="25" t="s">
        <v>13</v>
      </c>
      <c r="D48" s="14"/>
      <c r="E48" s="25" t="s">
        <v>14</v>
      </c>
      <c r="F48" s="18"/>
      <c r="G48" s="56"/>
      <c r="H48" s="56"/>
      <c r="I48" s="56"/>
      <c r="J48" s="56"/>
      <c r="K48" s="56"/>
      <c r="L48" s="22"/>
      <c r="M48" s="22"/>
      <c r="N48" s="22"/>
      <c r="O48" s="22"/>
      <c r="P48" s="22"/>
      <c r="Q48" s="22"/>
      <c r="R48" s="22"/>
      <c r="S48" s="22"/>
    </row>
    <row r="49" spans="1:19" ht="2.5" customHeight="1" x14ac:dyDescent="0.35">
      <c r="A49" s="22"/>
      <c r="B49" s="14"/>
      <c r="C49" s="14"/>
      <c r="D49" s="14"/>
      <c r="E49" s="14"/>
      <c r="F49" s="14"/>
      <c r="G49" s="56"/>
      <c r="H49" s="56"/>
      <c r="I49" s="56"/>
      <c r="J49" s="56"/>
      <c r="K49" s="56"/>
      <c r="L49" s="22"/>
      <c r="M49" s="22"/>
      <c r="N49" s="22"/>
      <c r="O49" s="22"/>
      <c r="P49" s="22"/>
      <c r="Q49" s="22"/>
      <c r="R49" s="22"/>
      <c r="S49" s="22"/>
    </row>
    <row r="50" spans="1:19" x14ac:dyDescent="0.35">
      <c r="A50" s="22"/>
      <c r="B50" s="14"/>
      <c r="C50" s="27">
        <f>IFERROR(Calcs!$C$2*Calcs!$B$116,"")</f>
        <v>30.148</v>
      </c>
      <c r="D50" s="14"/>
      <c r="E50" s="28">
        <f>IFERROR(Calcs!$B$2*Calcs!$B$116,"")</f>
        <v>0.38279999999999997</v>
      </c>
      <c r="F50" s="14"/>
      <c r="G50" s="56"/>
      <c r="H50" s="56"/>
      <c r="I50" s="56"/>
      <c r="J50" s="56"/>
      <c r="K50" s="56"/>
      <c r="L50" s="22"/>
      <c r="M50" s="22"/>
      <c r="N50" s="22"/>
      <c r="O50" s="22"/>
      <c r="P50" s="22"/>
      <c r="Q50" s="22"/>
      <c r="R50" s="22"/>
      <c r="S50" s="22"/>
    </row>
    <row r="51" spans="1:19" ht="7.5" customHeight="1" x14ac:dyDescent="0.35">
      <c r="A51" s="22"/>
      <c r="B51" s="14"/>
      <c r="C51" s="14"/>
      <c r="D51" s="14"/>
      <c r="E51" s="14"/>
      <c r="F51" s="14"/>
      <c r="G51" s="56"/>
      <c r="H51" s="56"/>
      <c r="I51" s="56"/>
      <c r="J51" s="56"/>
      <c r="K51" s="56"/>
      <c r="L51" s="22"/>
      <c r="M51" s="22"/>
      <c r="N51" s="22"/>
      <c r="O51" s="22"/>
      <c r="P51" s="22"/>
      <c r="Q51" s="22"/>
      <c r="R51" s="22"/>
      <c r="S51" s="22"/>
    </row>
    <row r="52" spans="1:19" ht="10" customHeight="1" x14ac:dyDescent="0.3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</row>
    <row r="53" spans="1:19" ht="7.5" customHeight="1" x14ac:dyDescent="0.35">
      <c r="A53" s="22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22"/>
      <c r="N53" s="22"/>
      <c r="O53" s="22"/>
      <c r="P53" s="22"/>
      <c r="Q53" s="22"/>
      <c r="R53" s="22"/>
      <c r="S53" s="22"/>
    </row>
    <row r="54" spans="1:19" x14ac:dyDescent="0.35">
      <c r="A54" s="22"/>
      <c r="B54" s="14"/>
      <c r="C54" s="57" t="s">
        <v>52</v>
      </c>
      <c r="D54" s="57"/>
      <c r="E54" s="57"/>
      <c r="F54" s="38"/>
      <c r="G54" s="38"/>
      <c r="H54" s="38"/>
      <c r="I54" s="38"/>
      <c r="J54" s="38"/>
      <c r="K54" s="38"/>
      <c r="L54" s="18"/>
      <c r="M54" s="22"/>
      <c r="N54" s="22"/>
      <c r="O54" s="22"/>
      <c r="P54" s="22"/>
      <c r="Q54" s="22"/>
      <c r="R54" s="22"/>
      <c r="S54" s="22"/>
    </row>
    <row r="55" spans="1:19" ht="5.15" customHeight="1" x14ac:dyDescent="0.35">
      <c r="A55" s="22"/>
      <c r="B55" s="14"/>
      <c r="C55" s="20"/>
      <c r="D55" s="20"/>
      <c r="E55" s="20"/>
      <c r="F55" s="14"/>
      <c r="G55" s="20"/>
      <c r="H55" s="20"/>
      <c r="I55" s="20"/>
      <c r="J55" s="20"/>
      <c r="K55" s="20"/>
      <c r="L55" s="18"/>
      <c r="M55" s="22"/>
      <c r="N55" s="22"/>
      <c r="O55" s="22"/>
      <c r="P55" s="22"/>
      <c r="Q55" s="22"/>
      <c r="R55" s="22"/>
      <c r="S55" s="22"/>
    </row>
    <row r="56" spans="1:19" x14ac:dyDescent="0.35">
      <c r="A56" s="22"/>
      <c r="B56" s="14"/>
      <c r="C56" s="25" t="s">
        <v>56</v>
      </c>
      <c r="D56" s="14"/>
      <c r="E56" s="25" t="s">
        <v>14</v>
      </c>
      <c r="F56" s="14"/>
      <c r="G56" s="25" t="s">
        <v>53</v>
      </c>
      <c r="H56" s="22"/>
      <c r="I56" s="25" t="s">
        <v>54</v>
      </c>
      <c r="J56" s="26"/>
      <c r="K56" s="25" t="s">
        <v>55</v>
      </c>
      <c r="L56" s="18"/>
      <c r="M56" s="22"/>
      <c r="N56" s="22"/>
      <c r="O56" s="22"/>
      <c r="P56" s="22"/>
      <c r="Q56" s="22"/>
      <c r="R56" s="22"/>
      <c r="S56" s="22"/>
    </row>
    <row r="57" spans="1:19" ht="2.5" customHeight="1" x14ac:dyDescent="0.35">
      <c r="A57" s="22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22"/>
      <c r="N57" s="22"/>
      <c r="O57" s="22"/>
      <c r="P57" s="22"/>
      <c r="Q57" s="22"/>
      <c r="R57" s="22"/>
      <c r="S57" s="22"/>
    </row>
    <row r="58" spans="1:19" x14ac:dyDescent="0.35">
      <c r="A58" s="22"/>
      <c r="B58" s="14"/>
      <c r="C58" s="29">
        <f>IFERROR(Calcs!$B$4*Calcs!$B$116,"")</f>
        <v>32</v>
      </c>
      <c r="D58" s="14"/>
      <c r="E58" s="30">
        <f>IFERROR(Calcs!$B$8*Calcs!$B$116,"")</f>
        <v>12.319599999999999</v>
      </c>
      <c r="F58" s="14"/>
      <c r="G58" s="31">
        <f>IFERROR(Calcs!$B$5*Calcs!$B$116,"")</f>
        <v>521</v>
      </c>
      <c r="H58" s="14"/>
      <c r="I58" s="31">
        <f>IFERROR(Calcs!$B$6*Calcs!$B$116,"")</f>
        <v>396</v>
      </c>
      <c r="J58" s="14"/>
      <c r="K58" s="31">
        <f>IFERROR(Calcs!$B$7*Calcs!$B$116,"")</f>
        <v>124</v>
      </c>
      <c r="L58" s="14"/>
      <c r="M58" s="22"/>
      <c r="N58" s="22"/>
      <c r="O58" s="22"/>
      <c r="P58" s="22"/>
      <c r="Q58" s="22"/>
      <c r="R58" s="22"/>
      <c r="S58" s="22"/>
    </row>
    <row r="59" spans="1:19" ht="7.5" customHeight="1" x14ac:dyDescent="0.35">
      <c r="A59" s="22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22"/>
      <c r="N59" s="22"/>
      <c r="O59" s="22"/>
      <c r="P59" s="22"/>
      <c r="Q59" s="22"/>
      <c r="R59" s="22"/>
      <c r="S59" s="22"/>
    </row>
    <row r="60" spans="1:19" ht="10" customHeight="1" x14ac:dyDescent="0.3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</row>
    <row r="61" spans="1:19" ht="7.5" customHeight="1" x14ac:dyDescent="0.35">
      <c r="A61" s="22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22"/>
      <c r="N61" s="22"/>
      <c r="O61" s="22"/>
      <c r="P61" s="22"/>
      <c r="Q61" s="22"/>
      <c r="R61" s="22"/>
      <c r="S61" s="22"/>
    </row>
    <row r="62" spans="1:19" x14ac:dyDescent="0.35">
      <c r="A62" s="22"/>
      <c r="B62" s="14"/>
      <c r="C62" s="57" t="s">
        <v>84</v>
      </c>
      <c r="D62" s="57"/>
      <c r="E62" s="57"/>
      <c r="F62" s="38"/>
      <c r="G62" s="55" t="s">
        <v>106</v>
      </c>
      <c r="H62" s="55"/>
      <c r="I62" s="55"/>
      <c r="J62" s="55"/>
      <c r="K62" s="55"/>
      <c r="L62" s="14"/>
      <c r="M62" s="22"/>
      <c r="N62" s="22"/>
      <c r="O62" s="22"/>
      <c r="P62" s="22"/>
      <c r="Q62" s="22"/>
      <c r="R62" s="22"/>
      <c r="S62" s="26"/>
    </row>
    <row r="63" spans="1:19" ht="5.15" customHeight="1" x14ac:dyDescent="0.35">
      <c r="A63" s="22"/>
      <c r="B63" s="14"/>
      <c r="C63" s="20"/>
      <c r="D63" s="20"/>
      <c r="E63" s="20"/>
      <c r="F63" s="14"/>
      <c r="G63" s="20"/>
      <c r="H63" s="20"/>
      <c r="I63" s="20"/>
      <c r="J63" s="20"/>
      <c r="K63" s="20"/>
      <c r="L63" s="14"/>
      <c r="M63" s="22"/>
      <c r="N63" s="22"/>
      <c r="O63" s="22"/>
      <c r="P63" s="22"/>
      <c r="Q63" s="22"/>
      <c r="R63" s="22"/>
      <c r="S63" s="26"/>
    </row>
    <row r="64" spans="1:19" x14ac:dyDescent="0.35">
      <c r="A64" s="22"/>
      <c r="B64" s="14"/>
      <c r="C64" s="25" t="s">
        <v>56</v>
      </c>
      <c r="D64" s="14"/>
      <c r="E64" s="25" t="s">
        <v>14</v>
      </c>
      <c r="F64" s="14"/>
      <c r="G64" s="25" t="s">
        <v>53</v>
      </c>
      <c r="H64" s="22"/>
      <c r="I64" s="25" t="s">
        <v>54</v>
      </c>
      <c r="J64" s="26"/>
      <c r="K64" s="25" t="s">
        <v>55</v>
      </c>
      <c r="L64" s="18"/>
      <c r="M64" s="22"/>
      <c r="N64" s="22"/>
      <c r="O64" s="22"/>
      <c r="P64" s="22"/>
      <c r="Q64" s="22"/>
      <c r="R64" s="22"/>
      <c r="S64" s="26"/>
    </row>
    <row r="65" spans="1:19" ht="2.5" customHeight="1" x14ac:dyDescent="0.35">
      <c r="A65" s="22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22"/>
      <c r="N65" s="22"/>
      <c r="O65" s="22"/>
      <c r="P65" s="22"/>
      <c r="Q65" s="22"/>
      <c r="R65" s="22"/>
      <c r="S65" s="22"/>
    </row>
    <row r="66" spans="1:19" x14ac:dyDescent="0.35">
      <c r="A66" s="22"/>
      <c r="B66" s="14"/>
      <c r="C66" s="29">
        <f>IFERROR(Calcs!$B$11*Calcs!$B$116*Calcs!$AO$2,"")</f>
        <v>32</v>
      </c>
      <c r="D66" s="14"/>
      <c r="E66" s="30">
        <f>IFERROR(Calcs!$B$18*Calcs!$B$116*Calcs!$AO$2,"")</f>
        <v>12.819599999999999</v>
      </c>
      <c r="F66" s="14"/>
      <c r="G66" s="31">
        <f>IFERROR(Calcs!$B$15*Calcs!$B$116*Calcs!$AO$2,"")</f>
        <v>535</v>
      </c>
      <c r="H66" s="14"/>
      <c r="I66" s="31">
        <f>IFERROR(Calcs!$B$16*Calcs!$B$116*Calcs!$AO$2,"")</f>
        <v>415</v>
      </c>
      <c r="J66" s="14"/>
      <c r="K66" s="31">
        <f>IFERROR(Calcs!$B$17*Calcs!$B$116*Calcs!$AO$2,"")</f>
        <v>144</v>
      </c>
      <c r="L66" s="14"/>
      <c r="M66" s="22"/>
      <c r="N66" s="22"/>
      <c r="O66" s="22"/>
      <c r="P66" s="22"/>
      <c r="Q66" s="22"/>
      <c r="R66" s="22"/>
      <c r="S66" s="22"/>
    </row>
    <row r="67" spans="1:19" ht="7.5" customHeight="1" x14ac:dyDescent="0.35">
      <c r="A67" s="22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22"/>
      <c r="N67" s="22"/>
      <c r="O67" s="22"/>
      <c r="P67" s="22"/>
      <c r="Q67" s="22"/>
      <c r="R67" s="22"/>
      <c r="S67" s="22"/>
    </row>
    <row r="68" spans="1:19" ht="10" customHeight="1" x14ac:dyDescent="0.3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</row>
    <row r="69" spans="1:19" ht="7.5" customHeight="1" x14ac:dyDescent="0.35">
      <c r="A69" s="22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22"/>
      <c r="P69" s="22"/>
      <c r="Q69" s="22"/>
      <c r="R69" s="22"/>
      <c r="S69" s="22"/>
    </row>
    <row r="70" spans="1:19" x14ac:dyDescent="0.35">
      <c r="A70" s="22"/>
      <c r="B70" s="18"/>
      <c r="C70" s="57" t="s">
        <v>147</v>
      </c>
      <c r="D70" s="57"/>
      <c r="E70" s="57"/>
      <c r="F70" s="38"/>
      <c r="G70" s="38"/>
      <c r="H70" s="38"/>
      <c r="I70" s="38"/>
      <c r="J70" s="38"/>
      <c r="K70" s="38"/>
      <c r="L70" s="38"/>
      <c r="M70" s="38"/>
      <c r="N70" s="14"/>
      <c r="O70" s="22"/>
      <c r="P70" s="22"/>
      <c r="Q70" s="22"/>
      <c r="R70" s="22"/>
      <c r="S70" s="22"/>
    </row>
    <row r="71" spans="1:19" ht="5.15" customHeight="1" x14ac:dyDescent="0.35">
      <c r="A71" s="22"/>
      <c r="B71" s="18"/>
      <c r="C71" s="20"/>
      <c r="D71" s="14"/>
      <c r="E71" s="20"/>
      <c r="F71" s="20"/>
      <c r="G71" s="20"/>
      <c r="H71" s="20"/>
      <c r="I71" s="20"/>
      <c r="J71" s="14"/>
      <c r="K71" s="20"/>
      <c r="L71" s="20"/>
      <c r="M71" s="20"/>
      <c r="N71" s="14"/>
      <c r="O71" s="22"/>
      <c r="P71" s="22"/>
      <c r="Q71" s="22"/>
      <c r="R71" s="22"/>
      <c r="S71" s="22"/>
    </row>
    <row r="72" spans="1:19" x14ac:dyDescent="0.35">
      <c r="A72" s="22"/>
      <c r="B72" s="18"/>
      <c r="C72" s="25" t="s">
        <v>56</v>
      </c>
      <c r="D72" s="14"/>
      <c r="E72" s="25" t="s">
        <v>149</v>
      </c>
      <c r="F72" s="14"/>
      <c r="G72" s="25" t="str">
        <f>IF(Calcs!$AO$2,"Cartons","Parcels")</f>
        <v>Cartons</v>
      </c>
      <c r="H72" s="22"/>
      <c r="I72" s="25" t="s">
        <v>58</v>
      </c>
      <c r="J72" s="22"/>
      <c r="K72" s="25" t="s">
        <v>40</v>
      </c>
      <c r="L72" s="14"/>
      <c r="M72" s="25" t="s">
        <v>150</v>
      </c>
      <c r="N72" s="14"/>
      <c r="O72" s="22"/>
      <c r="P72" s="22"/>
      <c r="Q72" s="22"/>
      <c r="R72" s="22"/>
      <c r="S72" s="22"/>
    </row>
    <row r="73" spans="1:19" ht="2.5" customHeight="1" x14ac:dyDescent="0.35">
      <c r="A73" s="22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22"/>
      <c r="P73" s="22"/>
      <c r="Q73" s="22"/>
      <c r="R73" s="22"/>
      <c r="S73" s="22"/>
    </row>
    <row r="74" spans="1:19" x14ac:dyDescent="0.35">
      <c r="A74" s="22"/>
      <c r="B74" s="14"/>
      <c r="C74" s="29">
        <f>IFERROR(Calcs!$B$24*Calcs!$B$116,"")</f>
        <v>768</v>
      </c>
      <c r="D74" s="14"/>
      <c r="E74" s="32">
        <f>IFERROR(Calcs!$B$26*Calcs!$B$116,"")</f>
        <v>332.67039999999997</v>
      </c>
      <c r="F74" s="14"/>
      <c r="G74" s="29">
        <f>IFERROR(Calcs!$B$23*Calcs!$B$116,"")</f>
        <v>24</v>
      </c>
      <c r="H74" s="14"/>
      <c r="I74" s="29">
        <f>IFERROR(Calcs!$B$21*Calcs!$B$116,"")</f>
        <v>4</v>
      </c>
      <c r="J74" s="14"/>
      <c r="K74" s="29">
        <f>IFERROR(Calcs!$B$22*Calcs!$B$116,"")</f>
        <v>6</v>
      </c>
      <c r="L74" s="14"/>
      <c r="M74" s="31">
        <f>IFERROR(Calcs!$B$25*Calcs!$B$116,"")</f>
        <v>1064</v>
      </c>
      <c r="N74" s="14"/>
      <c r="O74" s="22"/>
      <c r="P74" s="22"/>
      <c r="Q74" s="22"/>
      <c r="R74" s="22"/>
      <c r="S74" s="22"/>
    </row>
    <row r="75" spans="1:19" ht="2.5" customHeight="1" x14ac:dyDescent="0.35">
      <c r="A75" s="22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22"/>
      <c r="P75" s="22"/>
      <c r="Q75" s="22"/>
      <c r="R75" s="22"/>
      <c r="S75" s="22"/>
    </row>
    <row r="76" spans="1:19" ht="15" customHeight="1" x14ac:dyDescent="0.35">
      <c r="A76" s="22"/>
      <c r="B76" s="14"/>
      <c r="C76" s="40" t="s">
        <v>151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22"/>
      <c r="P76" s="22"/>
      <c r="Q76" s="22"/>
      <c r="R76" s="22"/>
      <c r="S76" s="22"/>
    </row>
    <row r="77" spans="1:19" x14ac:dyDescent="0.35">
      <c r="A77" s="22"/>
      <c r="B77" s="41"/>
      <c r="C77" s="40" t="s">
        <v>148</v>
      </c>
      <c r="D77" s="40"/>
      <c r="E77" s="40"/>
      <c r="F77" s="41"/>
      <c r="G77" s="41"/>
      <c r="H77" s="41"/>
      <c r="I77" s="41"/>
      <c r="J77" s="41"/>
      <c r="K77" s="41"/>
      <c r="L77" s="41"/>
      <c r="M77" s="41"/>
      <c r="N77" s="41"/>
      <c r="O77" s="22"/>
      <c r="P77" s="22"/>
      <c r="Q77" s="22"/>
      <c r="R77" s="22"/>
      <c r="S77" s="22"/>
    </row>
    <row r="78" spans="1:19" ht="2.5" customHeight="1" x14ac:dyDescent="0.35">
      <c r="A78" s="22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22"/>
      <c r="P78" s="22"/>
      <c r="Q78" s="22"/>
      <c r="R78" s="22"/>
      <c r="S78" s="22"/>
    </row>
    <row r="79" spans="1:19" x14ac:dyDescent="0.3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</row>
  </sheetData>
  <sheetProtection algorithmName="SHA-512" hashValue="MTKy/uH1b0gkErksUjkpMRAyc35fqYRfLM7RE8AVjj5krCK8+dG/pUGzvt93lUgbILqIGNvnY6GmbOCtRcugVg==" saltValue="IHwjiHUQNUUIwCWWZ5wdHQ==" spinCount="100000" sheet="1" objects="1" scenarios="1" selectLockedCells="1"/>
  <mergeCells count="8">
    <mergeCell ref="G62:K62"/>
    <mergeCell ref="G45:K51"/>
    <mergeCell ref="C70:E70"/>
    <mergeCell ref="C3:E3"/>
    <mergeCell ref="C46:E46"/>
    <mergeCell ref="C54:E54"/>
    <mergeCell ref="C62:E62"/>
    <mergeCell ref="G35:I37"/>
  </mergeCells>
  <dataValidations count="6">
    <dataValidation type="list" showInputMessage="1" showErrorMessage="1" sqref="E39" xr:uid="{917E22F1-DE9F-4A9B-8992-03A1332F2273}">
      <formula1>cartons</formula1>
    </dataValidation>
    <dataValidation type="list" allowBlank="1" showInputMessage="1" showErrorMessage="1" sqref="E11" xr:uid="{00E96307-8AEB-4A8B-9CFB-26F274F81B63}">
      <formula1>textExtent</formula1>
    </dataValidation>
    <dataValidation type="list" allowBlank="1" showInputMessage="1" showErrorMessage="1" sqref="E19:E20" xr:uid="{E2CF79FF-234A-4859-8000-7FA6C9634E95}">
      <formula1>illusExtent</formula1>
    </dataValidation>
    <dataValidation type="list" allowBlank="1" showInputMessage="1" showErrorMessage="1" sqref="E41" xr:uid="{9AE77DBB-BCC7-4CA3-8C13-B0651F60BFFC}">
      <formula1>dest</formula1>
    </dataValidation>
    <dataValidation type="list" allowBlank="1" showInputMessage="1" showErrorMessage="1" sqref="E7" xr:uid="{4550F607-1F7F-4E60-8BC3-E178A3A2AFB3}">
      <formula1>styleList</formula1>
    </dataValidation>
    <dataValidation type="list" allowBlank="1" showInputMessage="1" showErrorMessage="1" sqref="E5" xr:uid="{4043C50B-DB45-40AA-9822-ECD175A37093}">
      <formula1>formatList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29BE199-7B76-4B04-B522-B85A0E10B4A0}">
            <xm:f>$E$7=Calcs!$AI$4</xm:f>
            <x14:dxf>
              <font>
                <color theme="2" tint="-0.24994659260841701"/>
              </font>
            </x14:dxf>
          </x14:cfRule>
          <xm:sqref>C27</xm:sqref>
        </x14:conditionalFormatting>
        <x14:conditionalFormatting xmlns:xm="http://schemas.microsoft.com/office/excel/2006/main">
          <x14:cfRule type="expression" priority="5" id="{7E5F2822-CC6F-499B-BF6A-36C99D810F15}">
            <xm:f>$E$7=Calcs!$AI$3</xm:f>
            <x14:dxf>
              <font>
                <color theme="2" tint="-0.24994659260841701"/>
              </font>
            </x14:dxf>
          </x14:cfRule>
          <xm:sqref>C31 C35 C37</xm:sqref>
        </x14:conditionalFormatting>
        <x14:conditionalFormatting xmlns:xm="http://schemas.microsoft.com/office/excel/2006/main">
          <x14:cfRule type="expression" priority="1" id="{0284E37B-79EE-4603-A643-215F2FAA313F}">
            <xm:f>$E$7=Calcs!$AI$4</xm:f>
            <x14:dxf>
              <font>
                <color theme="2" tint="-0.24994659260841701"/>
              </font>
              <fill>
                <patternFill>
                  <bgColor theme="2"/>
                </patternFill>
              </fill>
            </x14:dxf>
          </x14:cfRule>
          <xm:sqref>C25:E25 E27</xm:sqref>
        </x14:conditionalFormatting>
        <x14:conditionalFormatting xmlns:xm="http://schemas.microsoft.com/office/excel/2006/main">
          <x14:cfRule type="expression" priority="3" id="{134E9E75-744C-4F3F-B594-5DAFE41F1364}">
            <xm:f>$E$7=Calcs!$AI$3</xm:f>
            <x14:dxf>
              <font>
                <color theme="2" tint="-0.24994659260841701"/>
              </font>
              <fill>
                <patternFill>
                  <bgColor theme="2"/>
                </patternFill>
              </fill>
            </x14:dxf>
          </x14:cfRule>
          <xm:sqref>C29:E29 E31 C33:E33 E35 E37</xm:sqref>
        </x14:conditionalFormatting>
        <x14:conditionalFormatting xmlns:xm="http://schemas.microsoft.com/office/excel/2006/main">
          <x14:cfRule type="expression" priority="4" id="{709295E5-448A-4E62-A463-480F085E59F6}">
            <xm:f>$E$39=Calcs!$AN$4</xm:f>
            <x14:dxf>
              <font>
                <color theme="2" tint="-0.24994659260841701"/>
              </font>
              <fill>
                <patternFill>
                  <bgColor theme="2"/>
                </patternFill>
              </fill>
            </x14:dxf>
          </x14:cfRule>
          <xm:sqref>C62:K62 M62 C64 E64 G64:K64 M64:Q64 C66 E66 G66 I66 K66 M66 Q66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85683-47D8-46BD-8C4D-D8C25D048F9F}">
  <sheetPr codeName="Sheet2"/>
  <dimension ref="A1:AO116"/>
  <sheetViews>
    <sheetView workbookViewId="0">
      <selection activeCell="K3" sqref="K3"/>
    </sheetView>
  </sheetViews>
  <sheetFormatPr defaultRowHeight="14.5" x14ac:dyDescent="0.35"/>
  <cols>
    <col min="1" max="1" width="16.453125" bestFit="1" customWidth="1"/>
    <col min="2" max="2" width="10.1796875" bestFit="1" customWidth="1"/>
    <col min="4" max="4" width="2.7265625" customWidth="1"/>
    <col min="10" max="10" width="2.7265625" customWidth="1"/>
    <col min="16" max="16" width="2.7265625" customWidth="1"/>
    <col min="17" max="19" width="9.1796875" customWidth="1"/>
    <col min="20" max="20" width="2.7265625" customWidth="1"/>
    <col min="24" max="32" width="15.7265625" customWidth="1"/>
    <col min="33" max="33" width="6.1796875" bestFit="1" customWidth="1"/>
    <col min="34" max="34" width="2.7265625" customWidth="1"/>
    <col min="35" max="38" width="10.1796875" bestFit="1" customWidth="1"/>
  </cols>
  <sheetData>
    <row r="1" spans="1:41" x14ac:dyDescent="0.35">
      <c r="A1" s="1" t="s">
        <v>18</v>
      </c>
      <c r="B1" s="1" t="s">
        <v>17</v>
      </c>
      <c r="C1" s="1" t="s">
        <v>13</v>
      </c>
      <c r="E1" s="1" t="s">
        <v>1</v>
      </c>
      <c r="F1" s="1" t="s">
        <v>2</v>
      </c>
      <c r="G1" s="1" t="s">
        <v>12</v>
      </c>
      <c r="H1" s="1" t="s">
        <v>17</v>
      </c>
      <c r="I1" s="1" t="s">
        <v>19</v>
      </c>
      <c r="J1" s="1"/>
      <c r="K1" s="1" t="s">
        <v>5</v>
      </c>
      <c r="L1" s="1" t="s">
        <v>2</v>
      </c>
      <c r="M1" s="1" t="s">
        <v>12</v>
      </c>
      <c r="N1" s="1" t="s">
        <v>17</v>
      </c>
      <c r="O1" s="1" t="s">
        <v>19</v>
      </c>
      <c r="P1" s="1"/>
      <c r="Q1" s="1" t="s">
        <v>11</v>
      </c>
      <c r="R1" s="1" t="s">
        <v>2</v>
      </c>
      <c r="S1" s="1" t="s">
        <v>17</v>
      </c>
      <c r="T1" s="1"/>
      <c r="U1" s="1" t="s">
        <v>6</v>
      </c>
      <c r="V1" s="1" t="s">
        <v>15</v>
      </c>
      <c r="W1" s="1" t="s">
        <v>16</v>
      </c>
      <c r="X1" s="1" t="s">
        <v>20</v>
      </c>
      <c r="Y1" s="1" t="s">
        <v>21</v>
      </c>
      <c r="Z1" s="1" t="s">
        <v>76</v>
      </c>
      <c r="AA1" s="1" t="s">
        <v>77</v>
      </c>
      <c r="AB1" s="1" t="s">
        <v>78</v>
      </c>
      <c r="AC1" s="1" t="s">
        <v>79</v>
      </c>
      <c r="AD1" s="1" t="s">
        <v>38</v>
      </c>
      <c r="AE1" s="1" t="s">
        <v>119</v>
      </c>
      <c r="AF1" s="1" t="s">
        <v>118</v>
      </c>
      <c r="AG1" s="1"/>
      <c r="AI1" s="1" t="s">
        <v>22</v>
      </c>
      <c r="AJ1" s="1" t="s">
        <v>26</v>
      </c>
      <c r="AK1" s="1" t="s">
        <v>51</v>
      </c>
      <c r="AL1" s="1"/>
      <c r="AN1" s="1" t="s">
        <v>99</v>
      </c>
    </row>
    <row r="2" spans="1:41" ht="15" thickBot="1" x14ac:dyDescent="0.4">
      <c r="A2" s="1" t="s">
        <v>33</v>
      </c>
      <c r="B2" s="5">
        <f>IF($AI$2=$AI$3,B29,IF($AI$2=$AI$4,C29,""))</f>
        <v>0.38279999999999997</v>
      </c>
      <c r="C2" s="5">
        <f>IF($AI$2=$AI$3,B31,IF($AI$2=$AI$4,C31,""))</f>
        <v>30.148</v>
      </c>
      <c r="E2" s="3">
        <f>'Front Sheet'!$E$11</f>
        <v>432</v>
      </c>
      <c r="F2" s="3">
        <f>'Front Sheet'!$E$13</f>
        <v>65</v>
      </c>
      <c r="G2" s="3">
        <f>'Front Sheet'!$E$15</f>
        <v>138</v>
      </c>
      <c r="H2" s="8">
        <f>INT(INT(E$2/2*$V$2*$W$2*10)/10000*F$2/100)/10000</f>
        <v>0.35859999999999997</v>
      </c>
      <c r="I2" s="9">
        <f>$E$2*$G$2/2000</f>
        <v>29.808</v>
      </c>
      <c r="J2" s="1"/>
      <c r="K2" s="3">
        <f>'Front Sheet'!$E$19</f>
        <v>8</v>
      </c>
      <c r="L2" s="3">
        <f>'Front Sheet'!$E$21</f>
        <v>115</v>
      </c>
      <c r="M2" s="3">
        <f>'Front Sheet'!$E$23</f>
        <v>85</v>
      </c>
      <c r="N2" s="8">
        <f>INT(INT(K$2/2*$V$2*$W$2*10)/10000*L$2/100)/10000</f>
        <v>1.17E-2</v>
      </c>
      <c r="O2" s="5">
        <f>$K$2*$M$2/2000</f>
        <v>0.34</v>
      </c>
      <c r="P2" s="1"/>
      <c r="Q2" s="6">
        <v>4</v>
      </c>
      <c r="R2" s="3">
        <f>'Front Sheet'!$E$27</f>
        <v>220</v>
      </c>
      <c r="S2" s="5">
        <f>INT(INT($V$2*(2*$W$2+$B$31)*100)/10000*R2/1000)/10000</f>
        <v>1.2500000000000001E-2</v>
      </c>
      <c r="T2" s="1"/>
      <c r="U2" s="3" t="str">
        <f>'Front Sheet'!$E$5</f>
        <v>B</v>
      </c>
      <c r="V2" s="7">
        <f t="shared" ref="V2:AC2" si="0">_xlfn.XLOOKUP($U$2,format,V3:V6)</f>
        <v>198</v>
      </c>
      <c r="W2" s="7">
        <f t="shared" si="0"/>
        <v>129</v>
      </c>
      <c r="X2" s="21">
        <f t="shared" si="0"/>
        <v>8</v>
      </c>
      <c r="Y2" s="21">
        <f t="shared" si="0"/>
        <v>2</v>
      </c>
      <c r="Z2" s="21">
        <f t="shared" si="0"/>
        <v>5</v>
      </c>
      <c r="AA2" s="21">
        <f t="shared" si="0"/>
        <v>19</v>
      </c>
      <c r="AB2" s="21">
        <f t="shared" si="0"/>
        <v>4</v>
      </c>
      <c r="AC2" s="21">
        <f t="shared" si="0"/>
        <v>14</v>
      </c>
      <c r="AD2" s="21">
        <f>IF($AI$2=$AI$3,X2,Y2)</f>
        <v>8</v>
      </c>
      <c r="AE2" s="21">
        <f>IF($AI$2=$AI$3,Z2,AA2)</f>
        <v>5</v>
      </c>
      <c r="AF2" s="21">
        <f>IF($AI$2=$AI$3,AB2,AC2)</f>
        <v>4</v>
      </c>
      <c r="AG2" s="1" t="s">
        <v>74</v>
      </c>
      <c r="AI2" s="3" t="str">
        <f>'Front Sheet'!$E$7</f>
        <v>Paperback</v>
      </c>
      <c r="AJ2" s="5">
        <f>_xlfn.XLOOKUP($AI$2,style,AJ$3:AJ$4)</f>
        <v>185</v>
      </c>
      <c r="AK2" s="5">
        <f>_xlfn.XLOOKUP($AI$2,style,AK$3:AK$4)</f>
        <v>7.0000000000000007E-2</v>
      </c>
      <c r="AL2" s="1" t="s">
        <v>74</v>
      </c>
      <c r="AN2" s="3" t="str">
        <f>'Front Sheet'!$E$39</f>
        <v>Yes</v>
      </c>
      <c r="AO2" s="2" t="b">
        <f>_xlfn.XLOOKUP(AN2,cartons,$AO$3:$AO$4)</f>
        <v>1</v>
      </c>
    </row>
    <row r="3" spans="1:41" ht="15" thickTop="1" x14ac:dyDescent="0.35">
      <c r="A3" s="1" t="s">
        <v>63</v>
      </c>
      <c r="B3" s="5">
        <f>IF($AI$2=$AI$3,B30,IF($AI$2=$AI$4,C30,""))</f>
        <v>0.38219999999999998</v>
      </c>
      <c r="C3" s="5">
        <f>IF($AI$2=$AI$3,B32,IF($AI$2=$AI$4,C32,""))</f>
        <v>31</v>
      </c>
      <c r="E3" s="4">
        <v>64</v>
      </c>
      <c r="J3" s="1"/>
      <c r="K3" s="4">
        <v>8</v>
      </c>
      <c r="P3" s="1"/>
      <c r="Q3" s="1" t="s">
        <v>31</v>
      </c>
      <c r="R3" s="5">
        <f>VLOOKUP($R2,$Q$10:$R$13,2,TRUE)</f>
        <v>210</v>
      </c>
      <c r="S3" s="5">
        <f>INT(INT($V$2*(2*$W$2+$B$31)*100)/10000*R3/1000)/10000</f>
        <v>1.1900000000000001E-2</v>
      </c>
      <c r="T3" s="1"/>
      <c r="U3" s="4" t="s">
        <v>7</v>
      </c>
      <c r="V3" s="4">
        <v>178</v>
      </c>
      <c r="W3" s="4">
        <v>111</v>
      </c>
      <c r="X3" s="4">
        <v>10</v>
      </c>
      <c r="Y3" s="11" t="s">
        <v>37</v>
      </c>
      <c r="Z3" s="11">
        <v>5</v>
      </c>
      <c r="AA3" s="11" t="s">
        <v>37</v>
      </c>
      <c r="AB3" s="11">
        <v>4</v>
      </c>
      <c r="AC3" s="11" t="s">
        <v>37</v>
      </c>
      <c r="AG3" s="2" t="str" cm="1">
        <f t="array" ref="AG3:AG6">IF($AI$2&lt;&gt;$AI$4,format,casedFormat)</f>
        <v>A</v>
      </c>
      <c r="AI3" s="4" t="s">
        <v>23</v>
      </c>
      <c r="AJ3" s="4">
        <v>185</v>
      </c>
      <c r="AK3" s="4">
        <v>7.0000000000000007E-2</v>
      </c>
      <c r="AL3" s="2" t="str" cm="1">
        <f t="array" ref="AL3:AL4">IF($U$2=$U$3,AI3,style)</f>
        <v>Paperback</v>
      </c>
      <c r="AN3" s="4" t="s">
        <v>104</v>
      </c>
      <c r="AO3" s="4" t="b">
        <v>1</v>
      </c>
    </row>
    <row r="4" spans="1:41" x14ac:dyDescent="0.35">
      <c r="A4" s="1" t="s">
        <v>27</v>
      </c>
      <c r="B4" s="5">
        <f>IFERROR(INT($B$55/$AD$2)*$AD$2,"")</f>
        <v>32</v>
      </c>
      <c r="E4" s="4">
        <v>80</v>
      </c>
      <c r="K4" s="4">
        <v>16</v>
      </c>
      <c r="U4" s="4" t="s">
        <v>8</v>
      </c>
      <c r="V4" s="4">
        <v>198</v>
      </c>
      <c r="W4" s="4">
        <v>129</v>
      </c>
      <c r="X4" s="4">
        <v>8</v>
      </c>
      <c r="Y4" s="4">
        <v>2</v>
      </c>
      <c r="Z4" s="4">
        <v>5</v>
      </c>
      <c r="AA4" s="4">
        <v>19</v>
      </c>
      <c r="AB4" s="4">
        <v>4</v>
      </c>
      <c r="AC4" s="2">
        <f>IF($B$8&lt;7,7,14)</f>
        <v>14</v>
      </c>
      <c r="AG4" s="2" t="str">
        <v>B</v>
      </c>
      <c r="AI4" s="4" t="s">
        <v>24</v>
      </c>
      <c r="AJ4" s="4">
        <v>220</v>
      </c>
      <c r="AK4" s="4">
        <v>0.155</v>
      </c>
      <c r="AL4" s="2" t="str">
        <v>Cased</v>
      </c>
      <c r="AN4" s="4" t="s">
        <v>105</v>
      </c>
      <c r="AO4" s="4" t="b">
        <v>0</v>
      </c>
    </row>
    <row r="5" spans="1:41" x14ac:dyDescent="0.35">
      <c r="A5" s="1" t="s">
        <v>35</v>
      </c>
      <c r="B5" s="5">
        <f>IF($AI$2=$AI$3,MAX($B$63,$B$64),IF($AI$2=$AI$4,MAX($C$63,$C$64),""))</f>
        <v>521</v>
      </c>
      <c r="E5" s="4">
        <v>96</v>
      </c>
      <c r="K5" s="4">
        <v>24</v>
      </c>
      <c r="R5" s="1" t="s">
        <v>2</v>
      </c>
      <c r="S5" s="1" t="s">
        <v>17</v>
      </c>
      <c r="U5" s="4" t="s">
        <v>9</v>
      </c>
      <c r="V5" s="4">
        <v>216</v>
      </c>
      <c r="W5" s="4">
        <v>135</v>
      </c>
      <c r="X5" s="4">
        <v>4</v>
      </c>
      <c r="Y5" s="4">
        <v>2</v>
      </c>
      <c r="Z5" s="4">
        <v>9</v>
      </c>
      <c r="AA5" s="4">
        <v>17</v>
      </c>
      <c r="AB5" s="4">
        <v>7</v>
      </c>
      <c r="AC5" s="2">
        <f>IF($B$8&lt;7,7,12)</f>
        <v>12</v>
      </c>
      <c r="AG5" s="2" t="str">
        <v>Demy</v>
      </c>
    </row>
    <row r="6" spans="1:41" x14ac:dyDescent="0.35">
      <c r="A6" s="1" t="s">
        <v>36</v>
      </c>
      <c r="B6" s="5">
        <f>IF($AI$2=$AI$3,MIN($B$63,$B$64),IF($AI$2=$AI$4,MIN($C$63,$C$64),""))</f>
        <v>396</v>
      </c>
      <c r="E6" s="4">
        <v>112</v>
      </c>
      <c r="K6" s="4">
        <v>32</v>
      </c>
      <c r="Q6" s="1" t="s">
        <v>61</v>
      </c>
      <c r="R6" s="3">
        <f>'Front Sheet'!$E$31</f>
        <v>150</v>
      </c>
      <c r="S6" s="5">
        <f>INT(INT($V$2*(2*$W$2+$B$31+2*$B$35)*100)/10000*$R6/1000)/10000</f>
        <v>9.7000000000000003E-3</v>
      </c>
      <c r="U6" s="4" t="s">
        <v>10</v>
      </c>
      <c r="V6" s="4">
        <v>234</v>
      </c>
      <c r="W6" s="4">
        <v>153</v>
      </c>
      <c r="X6" s="4">
        <v>4</v>
      </c>
      <c r="Y6" s="4">
        <v>2</v>
      </c>
      <c r="Z6" s="4">
        <v>7</v>
      </c>
      <c r="AA6" s="4">
        <v>14</v>
      </c>
      <c r="AB6" s="4">
        <v>5</v>
      </c>
      <c r="AC6" s="2">
        <f>IF($B$8&lt;7,5,11)</f>
        <v>11</v>
      </c>
      <c r="AG6" s="2" t="str">
        <v>Royal</v>
      </c>
      <c r="AI6" s="1" t="s">
        <v>47</v>
      </c>
      <c r="AJ6" s="1" t="s">
        <v>15</v>
      </c>
    </row>
    <row r="7" spans="1:41" x14ac:dyDescent="0.35">
      <c r="A7" s="1" t="s">
        <v>26</v>
      </c>
      <c r="B7" s="12">
        <f>IF($AI$2=$AI$3,B65,IF($AI$2=$AI$4,C65,""))</f>
        <v>124</v>
      </c>
      <c r="E7" s="4">
        <v>128</v>
      </c>
      <c r="K7" s="4">
        <v>48</v>
      </c>
      <c r="Q7" s="1" t="s">
        <v>31</v>
      </c>
      <c r="R7" s="5">
        <f>VLOOKUP($R6,$Q$10:$R$13,2,TRUE)</f>
        <v>150</v>
      </c>
      <c r="S7" s="5">
        <f>INT(INT($V$2*(2*$W$2+$B$31+2*$B$35)*100)/10000*$R7/1000)/10000</f>
        <v>9.7000000000000003E-3</v>
      </c>
      <c r="AI7" s="3" t="str">
        <f>'Front Sheet'!$E$41</f>
        <v>UK</v>
      </c>
      <c r="AJ7" s="5">
        <f>_xlfn.XLOOKUP($AI$7,dest,$AJ$8:$AJ$9)</f>
        <v>1200</v>
      </c>
    </row>
    <row r="8" spans="1:41" x14ac:dyDescent="0.35">
      <c r="A8" s="1" t="s">
        <v>25</v>
      </c>
      <c r="B8" s="36">
        <f>$B$4*$B$2+$AK$2</f>
        <v>12.319599999999999</v>
      </c>
      <c r="E8" s="4">
        <v>144</v>
      </c>
      <c r="K8" s="4">
        <v>64</v>
      </c>
      <c r="AI8" s="4" t="s">
        <v>45</v>
      </c>
      <c r="AJ8" s="4">
        <v>1200</v>
      </c>
    </row>
    <row r="9" spans="1:41" x14ac:dyDescent="0.35">
      <c r="E9" s="4">
        <v>160</v>
      </c>
      <c r="Q9" s="1" t="s">
        <v>32</v>
      </c>
      <c r="R9" s="1" t="s">
        <v>31</v>
      </c>
      <c r="W9" s="1"/>
      <c r="AI9" s="4" t="s">
        <v>46</v>
      </c>
      <c r="AJ9" s="4">
        <v>1100</v>
      </c>
    </row>
    <row r="10" spans="1:41" x14ac:dyDescent="0.35">
      <c r="A10" s="1" t="s">
        <v>84</v>
      </c>
      <c r="E10" s="4">
        <v>176</v>
      </c>
      <c r="Q10" s="4">
        <v>0</v>
      </c>
      <c r="R10" s="4">
        <v>150</v>
      </c>
    </row>
    <row r="11" spans="1:41" x14ac:dyDescent="0.35">
      <c r="A11" s="1" t="s">
        <v>103</v>
      </c>
      <c r="B11" s="5" cm="1">
        <f t="array" ref="B11">_xlfn.IFS($AI$2=$AI$3,B72,$AI$2=$AI$4,C72)</f>
        <v>32</v>
      </c>
      <c r="E11" s="4">
        <v>192</v>
      </c>
      <c r="Q11" s="4">
        <v>179</v>
      </c>
      <c r="R11" s="4">
        <v>210</v>
      </c>
    </row>
    <row r="12" spans="1:41" x14ac:dyDescent="0.35">
      <c r="A12" s="1" t="s">
        <v>85</v>
      </c>
      <c r="B12" s="5" cm="1">
        <f t="array" ref="B12">_xlfn.IFS($AI$2=$AI$3,B76,$AI$2=$AI$4,B88)</f>
        <v>523</v>
      </c>
      <c r="E12" s="4">
        <v>208</v>
      </c>
      <c r="Q12" s="4">
        <v>239</v>
      </c>
      <c r="R12" s="4">
        <v>240</v>
      </c>
    </row>
    <row r="13" spans="1:41" x14ac:dyDescent="0.35">
      <c r="A13" s="1" t="s">
        <v>86</v>
      </c>
      <c r="B13" s="5" cm="1">
        <f t="array" ref="B13">_xlfn.IFS($AI$2=$AI$3,B77,$AI$2=$AI$4,B89)</f>
        <v>403</v>
      </c>
      <c r="E13" s="4">
        <v>224</v>
      </c>
      <c r="Q13" s="4">
        <v>999</v>
      </c>
      <c r="R13" s="4">
        <v>999</v>
      </c>
    </row>
    <row r="14" spans="1:41" x14ac:dyDescent="0.35">
      <c r="A14" s="1" t="s">
        <v>87</v>
      </c>
      <c r="B14" s="5" cm="1">
        <f t="array" ref="B14">_xlfn.IFS($AI$2=$AI$3,B78,$AI$2=$AI$4,B90)</f>
        <v>132</v>
      </c>
      <c r="E14" s="4">
        <v>240</v>
      </c>
    </row>
    <row r="15" spans="1:41" x14ac:dyDescent="0.35">
      <c r="A15" s="1" t="s">
        <v>88</v>
      </c>
      <c r="B15" s="5">
        <f>B12+12</f>
        <v>535</v>
      </c>
      <c r="E15" s="4">
        <v>256</v>
      </c>
      <c r="Q15" s="1" t="s">
        <v>65</v>
      </c>
      <c r="R15" s="1" t="s">
        <v>2</v>
      </c>
      <c r="S15" s="1" t="s">
        <v>14</v>
      </c>
    </row>
    <row r="16" spans="1:41" x14ac:dyDescent="0.35">
      <c r="A16" s="1" t="s">
        <v>89</v>
      </c>
      <c r="B16" s="5">
        <f>B13+12</f>
        <v>415</v>
      </c>
      <c r="E16" s="4">
        <v>272</v>
      </c>
      <c r="Q16" s="3">
        <f>'Front Sheet'!$E$35</f>
        <v>2500</v>
      </c>
      <c r="R16" s="3">
        <f>'Front Sheet'!$E$37</f>
        <v>1350</v>
      </c>
      <c r="S16" s="5">
        <f>2*($V$2+$B$39)*($W$2+$B$40)/100*$R$16</f>
        <v>727055.99999999988</v>
      </c>
    </row>
    <row r="17" spans="1:19" x14ac:dyDescent="0.35">
      <c r="A17" s="1" t="s">
        <v>90</v>
      </c>
      <c r="B17" s="5">
        <f>B14+12</f>
        <v>144</v>
      </c>
      <c r="E17" s="4">
        <v>288</v>
      </c>
      <c r="Q17" s="1" t="s">
        <v>72</v>
      </c>
      <c r="S17" s="5">
        <f>$B$36*$V$2*$W$2/100*$B$37</f>
        <v>132818.4</v>
      </c>
    </row>
    <row r="18" spans="1:19" x14ac:dyDescent="0.35">
      <c r="A18" s="1" t="s">
        <v>81</v>
      </c>
      <c r="B18" s="5" cm="1">
        <f t="array" ref="B18">_xlfn.IFS($AI$2=$AI$3,B68,$AI$2=$AI$4,C68)</f>
        <v>12.819599999999999</v>
      </c>
      <c r="E18" s="4">
        <v>304</v>
      </c>
      <c r="Q18" s="1" t="s">
        <v>71</v>
      </c>
      <c r="S18" s="5">
        <f>($V$2+2*$B$41)*(2*$W$2+$B$31+15+2*$B$41)/100*$B$42</f>
        <v>91149.292799999996</v>
      </c>
    </row>
    <row r="19" spans="1:19" x14ac:dyDescent="0.35">
      <c r="E19" s="4">
        <v>320</v>
      </c>
      <c r="Q19" s="1" t="s">
        <v>18</v>
      </c>
      <c r="S19" s="5">
        <f>INT(INT(($S$16+$S$17+$S$18)*(100+$B$43)*100)/10000/1000)/10000</f>
        <v>0.10929999999999999</v>
      </c>
    </row>
    <row r="20" spans="1:19" x14ac:dyDescent="0.35">
      <c r="A20" s="1" t="s">
        <v>44</v>
      </c>
      <c r="E20" s="4">
        <v>336</v>
      </c>
    </row>
    <row r="21" spans="1:19" x14ac:dyDescent="0.35">
      <c r="A21" s="1" t="s">
        <v>39</v>
      </c>
      <c r="B21" s="5">
        <f t="shared" ref="B21:B26" si="1">IF($AO$2,B107,B101)</f>
        <v>4</v>
      </c>
      <c r="E21" s="4">
        <v>352</v>
      </c>
      <c r="Q21" s="1" t="s">
        <v>94</v>
      </c>
    </row>
    <row r="22" spans="1:19" x14ac:dyDescent="0.35">
      <c r="A22" s="1" t="s">
        <v>40</v>
      </c>
      <c r="B22" s="5">
        <f t="shared" si="1"/>
        <v>6</v>
      </c>
      <c r="E22" s="4">
        <v>368</v>
      </c>
      <c r="Q22" s="1" t="s">
        <v>26</v>
      </c>
      <c r="R22" s="1" t="s">
        <v>83</v>
      </c>
    </row>
    <row r="23" spans="1:19" x14ac:dyDescent="0.35">
      <c r="A23" s="1" t="s">
        <v>120</v>
      </c>
      <c r="B23" s="5">
        <f t="shared" si="1"/>
        <v>24</v>
      </c>
      <c r="E23" s="4">
        <v>384</v>
      </c>
      <c r="Q23" s="4">
        <v>0</v>
      </c>
      <c r="R23" s="4">
        <v>0</v>
      </c>
    </row>
    <row r="24" spans="1:19" x14ac:dyDescent="0.35">
      <c r="A24" s="1" t="s">
        <v>49</v>
      </c>
      <c r="B24" s="5">
        <f t="shared" si="1"/>
        <v>768</v>
      </c>
      <c r="E24" s="4">
        <v>400</v>
      </c>
      <c r="Q24" s="4">
        <v>101</v>
      </c>
      <c r="R24" s="4">
        <v>5</v>
      </c>
    </row>
    <row r="25" spans="1:19" x14ac:dyDescent="0.35">
      <c r="A25" s="1" t="s">
        <v>121</v>
      </c>
      <c r="B25" s="5">
        <f t="shared" si="1"/>
        <v>1064</v>
      </c>
      <c r="E25" s="4">
        <v>416</v>
      </c>
      <c r="Q25" s="4">
        <v>170</v>
      </c>
      <c r="R25" s="4">
        <v>5</v>
      </c>
    </row>
    <row r="26" spans="1:19" x14ac:dyDescent="0.35">
      <c r="A26" s="1" t="s">
        <v>122</v>
      </c>
      <c r="B26" s="5">
        <f t="shared" si="1"/>
        <v>332.67039999999997</v>
      </c>
      <c r="E26" s="4">
        <v>432</v>
      </c>
      <c r="Q26" s="4">
        <v>171</v>
      </c>
      <c r="R26" s="4">
        <v>10</v>
      </c>
      <c r="S26" s="5">
        <f>VLOOKUP(B75,$Q$23:$R$26,2,TRUE)</f>
        <v>5</v>
      </c>
    </row>
    <row r="27" spans="1:19" x14ac:dyDescent="0.35">
      <c r="E27" s="4">
        <v>448</v>
      </c>
    </row>
    <row r="28" spans="1:19" x14ac:dyDescent="0.35">
      <c r="B28" s="1" t="s">
        <v>23</v>
      </c>
      <c r="C28" s="1" t="s">
        <v>24</v>
      </c>
      <c r="E28" s="4">
        <v>464</v>
      </c>
      <c r="Q28" s="1" t="s">
        <v>95</v>
      </c>
    </row>
    <row r="29" spans="1:19" x14ac:dyDescent="0.35">
      <c r="A29" s="1" t="s">
        <v>17</v>
      </c>
      <c r="B29" s="34">
        <f>IFERROR(ROUND($H$2+$N$2+$S$2,4),"")</f>
        <v>0.38279999999999997</v>
      </c>
      <c r="C29" s="34">
        <f>IFERROR(ROUND($H$2+$N$2+$S6+$S$19,4),"")</f>
        <v>0.48930000000000001</v>
      </c>
      <c r="E29" s="4">
        <v>480</v>
      </c>
      <c r="Q29" s="1" t="s">
        <v>26</v>
      </c>
      <c r="R29" s="1" t="s">
        <v>83</v>
      </c>
    </row>
    <row r="30" spans="1:19" x14ac:dyDescent="0.35">
      <c r="A30" s="1" t="s">
        <v>63</v>
      </c>
      <c r="B30" s="34">
        <f>IFERROR(ROUND($H$2+$N$2+$S$3,4),"")</f>
        <v>0.38219999999999998</v>
      </c>
      <c r="C30" s="34">
        <f>IFERROR(ROUND($H$2+$N$2+$S7+$S$19,4),"")</f>
        <v>0.48930000000000001</v>
      </c>
      <c r="E30" s="4">
        <v>496</v>
      </c>
      <c r="Q30" s="4">
        <v>0</v>
      </c>
      <c r="R30" s="4">
        <v>0</v>
      </c>
    </row>
    <row r="31" spans="1:19" x14ac:dyDescent="0.35">
      <c r="A31" s="1" t="s">
        <v>13</v>
      </c>
      <c r="B31" s="35">
        <f>$I$2+$O$2</f>
        <v>30.148</v>
      </c>
      <c r="C31" s="35">
        <f>$I$2+$O$2</f>
        <v>30.148</v>
      </c>
      <c r="E31" s="4">
        <v>512</v>
      </c>
      <c r="Q31" s="4">
        <v>101</v>
      </c>
      <c r="R31" s="4">
        <v>5</v>
      </c>
    </row>
    <row r="32" spans="1:19" x14ac:dyDescent="0.35">
      <c r="A32" s="1" t="s">
        <v>63</v>
      </c>
      <c r="B32" s="35">
        <f>IF($B31&lt;=10,$B31+0.5,IF($B31&lt;45,ROUND($B31+1,0),IF($B31&gt;=45,ROUND($B31+2,0))))</f>
        <v>31</v>
      </c>
      <c r="C32" s="35">
        <f>$I$2+$O$2+($Q$16*2/1000)</f>
        <v>35.147999999999996</v>
      </c>
      <c r="E32" s="4">
        <v>528</v>
      </c>
      <c r="Q32" s="4">
        <v>170</v>
      </c>
      <c r="R32" s="4">
        <v>5</v>
      </c>
    </row>
    <row r="33" spans="1:19" x14ac:dyDescent="0.35">
      <c r="E33" s="4">
        <v>544</v>
      </c>
      <c r="Q33" s="4">
        <v>171</v>
      </c>
      <c r="R33" s="4">
        <v>10</v>
      </c>
      <c r="S33" s="5">
        <f>VLOOKUP(B86,$Q$30:$R$33,2,TRUE)</f>
        <v>5</v>
      </c>
    </row>
    <row r="34" spans="1:19" x14ac:dyDescent="0.35">
      <c r="E34" s="4">
        <v>560</v>
      </c>
    </row>
    <row r="35" spans="1:19" x14ac:dyDescent="0.35">
      <c r="A35" s="1" t="s">
        <v>64</v>
      </c>
      <c r="B35" s="4">
        <v>20</v>
      </c>
      <c r="E35" s="4">
        <v>576</v>
      </c>
    </row>
    <row r="36" spans="1:19" x14ac:dyDescent="0.35">
      <c r="A36" s="1" t="s">
        <v>66</v>
      </c>
      <c r="B36" s="4">
        <v>4</v>
      </c>
      <c r="E36" s="4">
        <v>592</v>
      </c>
    </row>
    <row r="37" spans="1:19" x14ac:dyDescent="0.35">
      <c r="A37" s="1" t="s">
        <v>67</v>
      </c>
      <c r="B37" s="4">
        <v>130</v>
      </c>
      <c r="E37" s="4">
        <v>608</v>
      </c>
    </row>
    <row r="38" spans="1:19" x14ac:dyDescent="0.35">
      <c r="E38" s="4">
        <v>624</v>
      </c>
    </row>
    <row r="39" spans="1:19" x14ac:dyDescent="0.35">
      <c r="A39" s="1" t="s">
        <v>68</v>
      </c>
      <c r="B39" s="4">
        <v>6</v>
      </c>
      <c r="E39" s="4">
        <v>640</v>
      </c>
    </row>
    <row r="40" spans="1:19" x14ac:dyDescent="0.35">
      <c r="A40" s="1" t="s">
        <v>69</v>
      </c>
      <c r="B40" s="4">
        <v>3</v>
      </c>
      <c r="E40" s="4">
        <v>656</v>
      </c>
    </row>
    <row r="41" spans="1:19" x14ac:dyDescent="0.35">
      <c r="A41" s="1" t="s">
        <v>70</v>
      </c>
      <c r="B41" s="4">
        <v>15</v>
      </c>
      <c r="E41" s="4">
        <v>672</v>
      </c>
    </row>
    <row r="42" spans="1:19" x14ac:dyDescent="0.35">
      <c r="A42" s="1" t="s">
        <v>71</v>
      </c>
      <c r="B42" s="4">
        <v>120</v>
      </c>
      <c r="E42" s="4">
        <v>688</v>
      </c>
    </row>
    <row r="43" spans="1:19" x14ac:dyDescent="0.35">
      <c r="A43" s="1" t="s">
        <v>73</v>
      </c>
      <c r="B43" s="4">
        <v>15</v>
      </c>
      <c r="E43" s="4">
        <v>704</v>
      </c>
    </row>
    <row r="44" spans="1:19" x14ac:dyDescent="0.35">
      <c r="E44" s="4">
        <v>720</v>
      </c>
    </row>
    <row r="45" spans="1:19" x14ac:dyDescent="0.35">
      <c r="A45" s="1" t="s">
        <v>101</v>
      </c>
      <c r="E45" s="4">
        <v>736</v>
      </c>
    </row>
    <row r="46" spans="1:19" x14ac:dyDescent="0.35">
      <c r="A46" s="1" t="s">
        <v>26</v>
      </c>
      <c r="B46" s="2">
        <f>$AJ$2</f>
        <v>185</v>
      </c>
      <c r="E46" s="4">
        <v>752</v>
      </c>
    </row>
    <row r="47" spans="1:19" x14ac:dyDescent="0.35">
      <c r="A47" s="1" t="s">
        <v>28</v>
      </c>
      <c r="B47" s="2">
        <f>INT($B$46/$C$3)</f>
        <v>5</v>
      </c>
      <c r="E47" s="4">
        <v>768</v>
      </c>
    </row>
    <row r="48" spans="1:19" x14ac:dyDescent="0.35">
      <c r="A48" s="1" t="str">
        <f>"Base "&amp;$AD$2</f>
        <v>Base 8</v>
      </c>
      <c r="B48" s="2">
        <f>$B$47*$AD$2</f>
        <v>40</v>
      </c>
      <c r="E48" s="4">
        <v>784</v>
      </c>
    </row>
    <row r="49" spans="1:5" x14ac:dyDescent="0.35">
      <c r="E49" s="4">
        <v>800</v>
      </c>
    </row>
    <row r="50" spans="1:5" x14ac:dyDescent="0.35">
      <c r="A50" s="1" t="s">
        <v>102</v>
      </c>
      <c r="E50" s="4">
        <v>816</v>
      </c>
    </row>
    <row r="51" spans="1:5" x14ac:dyDescent="0.35">
      <c r="A51" s="1" t="s">
        <v>25</v>
      </c>
      <c r="B51" s="4">
        <v>15</v>
      </c>
      <c r="E51" s="4">
        <v>832</v>
      </c>
    </row>
    <row r="52" spans="1:5" x14ac:dyDescent="0.35">
      <c r="A52" s="1" t="s">
        <v>30</v>
      </c>
      <c r="B52" s="13">
        <v>0.05</v>
      </c>
      <c r="E52" s="4">
        <v>848</v>
      </c>
    </row>
    <row r="53" spans="1:5" x14ac:dyDescent="0.35">
      <c r="A53" s="1" t="s">
        <v>29</v>
      </c>
      <c r="B53" s="10">
        <f>ROUND($B$51*(1-$B$52),4)/$B$30</f>
        <v>37.284144427001571</v>
      </c>
      <c r="E53" s="4">
        <v>864</v>
      </c>
    </row>
    <row r="54" spans="1:5" x14ac:dyDescent="0.35">
      <c r="E54" s="4">
        <v>880</v>
      </c>
    </row>
    <row r="55" spans="1:5" x14ac:dyDescent="0.35">
      <c r="A55" s="1" t="s">
        <v>34</v>
      </c>
      <c r="B55" s="10">
        <f>IF($B53&gt;$B48,B48,B53)</f>
        <v>37.284144427001571</v>
      </c>
      <c r="E55" s="4">
        <v>896</v>
      </c>
    </row>
    <row r="56" spans="1:5" x14ac:dyDescent="0.35">
      <c r="E56" s="4">
        <v>912</v>
      </c>
    </row>
    <row r="57" spans="1:5" x14ac:dyDescent="0.35">
      <c r="A57" s="1" t="s">
        <v>100</v>
      </c>
      <c r="E57" s="4">
        <v>928</v>
      </c>
    </row>
    <row r="58" spans="1:5" x14ac:dyDescent="0.35">
      <c r="A58" s="1" t="s">
        <v>43</v>
      </c>
      <c r="B58" s="2">
        <f>$AJ$7</f>
        <v>1200</v>
      </c>
      <c r="E58" s="4">
        <v>944</v>
      </c>
    </row>
    <row r="59" spans="1:5" x14ac:dyDescent="0.35">
      <c r="A59" s="1" t="s">
        <v>41</v>
      </c>
      <c r="B59" s="4">
        <v>200</v>
      </c>
      <c r="E59" s="4">
        <v>960</v>
      </c>
    </row>
    <row r="60" spans="1:5" x14ac:dyDescent="0.35">
      <c r="A60" s="1" t="s">
        <v>42</v>
      </c>
      <c r="B60" s="2">
        <f>B58-B59</f>
        <v>1000</v>
      </c>
      <c r="E60" s="4">
        <v>976</v>
      </c>
    </row>
    <row r="61" spans="1:5" x14ac:dyDescent="0.35">
      <c r="E61" s="4">
        <v>992</v>
      </c>
    </row>
    <row r="62" spans="1:5" x14ac:dyDescent="0.35">
      <c r="B62" s="1" t="s">
        <v>23</v>
      </c>
      <c r="C62" s="1" t="s">
        <v>24</v>
      </c>
      <c r="E62" s="4">
        <v>1008</v>
      </c>
    </row>
    <row r="63" spans="1:5" x14ac:dyDescent="0.35">
      <c r="A63" s="1" t="s">
        <v>145</v>
      </c>
      <c r="B63" s="2">
        <f>(($W$2*($AD$2/2))+5)</f>
        <v>521</v>
      </c>
      <c r="C63" s="2">
        <f>(((W$2+3)*2)+9)</f>
        <v>273</v>
      </c>
      <c r="E63" s="4">
        <v>1024</v>
      </c>
    </row>
    <row r="64" spans="1:5" x14ac:dyDescent="0.35">
      <c r="A64" s="1" t="s">
        <v>146</v>
      </c>
      <c r="B64" s="2">
        <f>$V$2*2</f>
        <v>396</v>
      </c>
      <c r="C64" s="2">
        <f>(($V$2+6+14))</f>
        <v>218</v>
      </c>
      <c r="E64" s="4">
        <v>1040</v>
      </c>
    </row>
    <row r="65" spans="1:5" x14ac:dyDescent="0.35">
      <c r="A65" s="1" t="s">
        <v>26</v>
      </c>
      <c r="B65" s="10">
        <f>($B$4/$AD$2*B$32)</f>
        <v>124</v>
      </c>
      <c r="C65" s="10">
        <f>($B$4/$AD$2*C$32)</f>
        <v>140.59199999999998</v>
      </c>
      <c r="E65" s="4">
        <v>1056</v>
      </c>
    </row>
    <row r="66" spans="1:5" x14ac:dyDescent="0.35">
      <c r="E66" s="4">
        <v>1072</v>
      </c>
    </row>
    <row r="67" spans="1:5" x14ac:dyDescent="0.35">
      <c r="A67" s="1" t="s">
        <v>82</v>
      </c>
      <c r="B67" s="4">
        <v>0.5</v>
      </c>
      <c r="E67" s="4">
        <v>1088</v>
      </c>
    </row>
    <row r="68" spans="1:5" x14ac:dyDescent="0.35">
      <c r="A68" s="1" t="s">
        <v>81</v>
      </c>
      <c r="B68" s="2">
        <f>$B$8+$B$67</f>
        <v>12.819599999999999</v>
      </c>
      <c r="C68" s="2">
        <f>($B$8*$C$69)+$B$67</f>
        <v>12.819599999999999</v>
      </c>
      <c r="E68" s="4">
        <v>1104</v>
      </c>
    </row>
    <row r="69" spans="1:5" x14ac:dyDescent="0.35">
      <c r="C69" s="2">
        <f>IF($B$87,2,1)</f>
        <v>1</v>
      </c>
      <c r="E69" s="4">
        <v>1120</v>
      </c>
    </row>
    <row r="70" spans="1:5" x14ac:dyDescent="0.35">
      <c r="A70" s="1" t="s">
        <v>84</v>
      </c>
      <c r="E70" s="4">
        <v>1136</v>
      </c>
    </row>
    <row r="71" spans="1:5" x14ac:dyDescent="0.35">
      <c r="A71" s="1" t="s">
        <v>91</v>
      </c>
      <c r="B71" s="2">
        <f>$B$4/$AD$2</f>
        <v>4</v>
      </c>
      <c r="E71" s="4">
        <v>1152</v>
      </c>
    </row>
    <row r="72" spans="1:5" x14ac:dyDescent="0.35">
      <c r="A72" s="1" t="s">
        <v>103</v>
      </c>
      <c r="B72" s="37">
        <f>$B$4</f>
        <v>32</v>
      </c>
      <c r="C72" s="37">
        <f>$B$72*$C$69</f>
        <v>32</v>
      </c>
      <c r="E72" s="4">
        <v>1168</v>
      </c>
    </row>
    <row r="73" spans="1:5" x14ac:dyDescent="0.35">
      <c r="A73" s="1"/>
      <c r="B73" s="1"/>
      <c r="E73" s="4">
        <v>1184</v>
      </c>
    </row>
    <row r="74" spans="1:5" x14ac:dyDescent="0.35">
      <c r="A74" s="1" t="s">
        <v>23</v>
      </c>
      <c r="E74" s="4">
        <v>1200</v>
      </c>
    </row>
    <row r="75" spans="1:5" x14ac:dyDescent="0.35">
      <c r="A75" s="1" t="s">
        <v>92</v>
      </c>
      <c r="B75" s="2">
        <f>SUM(($C$2+1)*$B$71)+((3/5)*$B$71)</f>
        <v>126.992</v>
      </c>
      <c r="E75" s="4">
        <v>1216</v>
      </c>
    </row>
    <row r="76" spans="1:5" x14ac:dyDescent="0.35">
      <c r="A76" s="1" t="s">
        <v>85</v>
      </c>
      <c r="B76" s="2">
        <f>MAX($B$80,$B$81)</f>
        <v>523</v>
      </c>
      <c r="E76" s="4">
        <v>1232</v>
      </c>
    </row>
    <row r="77" spans="1:5" x14ac:dyDescent="0.35">
      <c r="A77" s="1" t="s">
        <v>86</v>
      </c>
      <c r="B77" s="2">
        <f>MIN($B$80,$B$81)</f>
        <v>403</v>
      </c>
      <c r="E77" s="4">
        <v>1248</v>
      </c>
    </row>
    <row r="78" spans="1:5" x14ac:dyDescent="0.35">
      <c r="A78" s="1" t="s">
        <v>87</v>
      </c>
      <c r="B78" s="2">
        <f>ROUNDUP($B$75+$S$26,0)</f>
        <v>132</v>
      </c>
      <c r="E78" s="4">
        <v>1264</v>
      </c>
    </row>
    <row r="79" spans="1:5" x14ac:dyDescent="0.35">
      <c r="A79" s="1"/>
      <c r="B79" s="1"/>
      <c r="E79" s="4">
        <v>1280</v>
      </c>
    </row>
    <row r="80" spans="1:5" x14ac:dyDescent="0.35">
      <c r="A80" s="1" t="s">
        <v>143</v>
      </c>
      <c r="B80" s="2">
        <f>ROUNDUP(($V$2*2)+7,0)</f>
        <v>403</v>
      </c>
      <c r="E80" s="4">
        <v>1296</v>
      </c>
    </row>
    <row r="81" spans="1:5" x14ac:dyDescent="0.35">
      <c r="A81" s="1" t="s">
        <v>144</v>
      </c>
      <c r="B81" s="2">
        <f>ROUNDUP(($W$2*($X$2/2))+7,0)</f>
        <v>523</v>
      </c>
      <c r="E81" s="4">
        <v>1312</v>
      </c>
    </row>
    <row r="82" spans="1:5" x14ac:dyDescent="0.35">
      <c r="A82" s="1" t="s">
        <v>87</v>
      </c>
      <c r="B82" s="2">
        <f>ROUNDUP($B$75+$S$26,0)</f>
        <v>132</v>
      </c>
      <c r="E82" s="4">
        <v>1328</v>
      </c>
    </row>
    <row r="83" spans="1:5" x14ac:dyDescent="0.35">
      <c r="E83" s="4">
        <v>1344</v>
      </c>
    </row>
    <row r="84" spans="1:5" x14ac:dyDescent="0.35">
      <c r="A84" s="1" t="s">
        <v>24</v>
      </c>
      <c r="E84" s="4">
        <v>1360</v>
      </c>
    </row>
    <row r="85" spans="1:5" x14ac:dyDescent="0.35">
      <c r="A85" s="1" t="s">
        <v>93</v>
      </c>
      <c r="B85" s="2">
        <f>(($Q$16/1000)*2)+1.5</f>
        <v>6.5</v>
      </c>
      <c r="E85" s="4">
        <v>1376</v>
      </c>
    </row>
    <row r="86" spans="1:5" x14ac:dyDescent="0.35">
      <c r="A86" s="1" t="s">
        <v>92</v>
      </c>
      <c r="B86" s="2">
        <f>(($C$2+$B$85)*$B$71)</f>
        <v>146.59199999999998</v>
      </c>
      <c r="E86" s="4">
        <v>1392</v>
      </c>
    </row>
    <row r="87" spans="1:5" x14ac:dyDescent="0.35">
      <c r="A87" s="1" t="s">
        <v>98</v>
      </c>
      <c r="B87" s="33" t="b">
        <f>B8&lt;7</f>
        <v>0</v>
      </c>
      <c r="E87" s="4">
        <v>1408</v>
      </c>
    </row>
    <row r="88" spans="1:5" x14ac:dyDescent="0.35">
      <c r="A88" s="1" t="s">
        <v>85</v>
      </c>
      <c r="B88" s="2">
        <f>IF($B$87,MAX($B$96,$B$97),MAX($B$92,$B$93))</f>
        <v>281</v>
      </c>
      <c r="E88" s="4">
        <v>1424</v>
      </c>
    </row>
    <row r="89" spans="1:5" x14ac:dyDescent="0.35">
      <c r="A89" s="1" t="s">
        <v>86</v>
      </c>
      <c r="B89" s="2">
        <f>IF($B$87,MIN($B$96,$B$97),MIN($B$92,$B$93))</f>
        <v>215</v>
      </c>
      <c r="E89" s="4">
        <v>1440</v>
      </c>
    </row>
    <row r="90" spans="1:5" x14ac:dyDescent="0.35">
      <c r="A90" s="1" t="s">
        <v>87</v>
      </c>
      <c r="B90" s="2">
        <f>IF($B$87,B98,B94)</f>
        <v>152</v>
      </c>
      <c r="E90" s="4">
        <v>1456</v>
      </c>
    </row>
    <row r="91" spans="1:5" x14ac:dyDescent="0.35">
      <c r="A91" s="1" t="s">
        <v>96</v>
      </c>
      <c r="E91" s="4">
        <v>1472</v>
      </c>
    </row>
    <row r="92" spans="1:5" x14ac:dyDescent="0.35">
      <c r="A92" s="1" t="s">
        <v>143</v>
      </c>
      <c r="B92" s="2">
        <f>ROUNDUP((($W$2+6)*2)+11,0)</f>
        <v>281</v>
      </c>
      <c r="E92" s="4">
        <v>1488</v>
      </c>
    </row>
    <row r="93" spans="1:5" x14ac:dyDescent="0.35">
      <c r="A93" s="1" t="s">
        <v>144</v>
      </c>
      <c r="B93" s="2">
        <f>(($V$2+6)*($Y$2/2))+11</f>
        <v>215</v>
      </c>
      <c r="E93" s="4">
        <v>1504</v>
      </c>
    </row>
    <row r="94" spans="1:5" x14ac:dyDescent="0.35">
      <c r="A94" s="1" t="s">
        <v>87</v>
      </c>
      <c r="B94" s="2">
        <f>ROUNDUP($B$86+$S$33,0)</f>
        <v>152</v>
      </c>
      <c r="E94" s="4">
        <v>1520</v>
      </c>
    </row>
    <row r="95" spans="1:5" x14ac:dyDescent="0.35">
      <c r="A95" s="1" t="s">
        <v>97</v>
      </c>
      <c r="E95" s="4">
        <v>1536</v>
      </c>
    </row>
    <row r="96" spans="1:5" x14ac:dyDescent="0.35">
      <c r="A96" s="1" t="s">
        <v>143</v>
      </c>
      <c r="B96" s="2">
        <f>(($V$2+6)*($Y$2/2)+11)*2-5</f>
        <v>425</v>
      </c>
      <c r="E96" s="4">
        <v>1552</v>
      </c>
    </row>
    <row r="97" spans="1:5" x14ac:dyDescent="0.35">
      <c r="A97" s="1" t="s">
        <v>144</v>
      </c>
      <c r="B97" s="2">
        <f>B92</f>
        <v>281</v>
      </c>
      <c r="E97" s="4">
        <v>1568</v>
      </c>
    </row>
    <row r="98" spans="1:5" x14ac:dyDescent="0.35">
      <c r="A98" s="1" t="s">
        <v>87</v>
      </c>
      <c r="B98" s="2">
        <f>ROUNDUP($B$86+$S$33,0)</f>
        <v>152</v>
      </c>
      <c r="E98" s="4">
        <v>1584</v>
      </c>
    </row>
    <row r="99" spans="1:5" x14ac:dyDescent="0.35">
      <c r="E99" s="4">
        <v>1600</v>
      </c>
    </row>
    <row r="100" spans="1:5" x14ac:dyDescent="0.35">
      <c r="A100" s="1" t="s">
        <v>44</v>
      </c>
    </row>
    <row r="101" spans="1:5" x14ac:dyDescent="0.35">
      <c r="A101" s="1" t="s">
        <v>114</v>
      </c>
      <c r="B101" s="2">
        <f>$AE$2</f>
        <v>5</v>
      </c>
    </row>
    <row r="102" spans="1:5" x14ac:dyDescent="0.35">
      <c r="A102" s="1" t="s">
        <v>115</v>
      </c>
      <c r="B102" s="2">
        <f>INT($B$60/$B$7)</f>
        <v>8</v>
      </c>
    </row>
    <row r="103" spans="1:5" x14ac:dyDescent="0.35">
      <c r="A103" s="1" t="s">
        <v>50</v>
      </c>
      <c r="B103" s="2">
        <f>$B101*$B102</f>
        <v>40</v>
      </c>
    </row>
    <row r="104" spans="1:5" x14ac:dyDescent="0.35">
      <c r="A104" s="1" t="s">
        <v>108</v>
      </c>
      <c r="B104" s="2">
        <f>$B$4*$B103</f>
        <v>1280</v>
      </c>
    </row>
    <row r="105" spans="1:5" x14ac:dyDescent="0.35">
      <c r="A105" s="1" t="s">
        <v>110</v>
      </c>
      <c r="B105" s="10">
        <f>($B$7*$B102)+$B$59</f>
        <v>1192</v>
      </c>
    </row>
    <row r="106" spans="1:5" x14ac:dyDescent="0.35">
      <c r="A106" s="1" t="s">
        <v>112</v>
      </c>
      <c r="B106" s="39">
        <f>($B$8*$B103)+$B$114</f>
        <v>517.78399999999999</v>
      </c>
    </row>
    <row r="107" spans="1:5" x14ac:dyDescent="0.35">
      <c r="A107" s="1" t="s">
        <v>116</v>
      </c>
      <c r="B107" s="2">
        <f>$AF$2</f>
        <v>4</v>
      </c>
    </row>
    <row r="108" spans="1:5" x14ac:dyDescent="0.35">
      <c r="A108" s="1" t="s">
        <v>117</v>
      </c>
      <c r="B108" s="2">
        <f>INT($B$60/$B$17)</f>
        <v>6</v>
      </c>
    </row>
    <row r="109" spans="1:5" x14ac:dyDescent="0.35">
      <c r="A109" s="1" t="s">
        <v>107</v>
      </c>
      <c r="B109" s="2">
        <f>$B107*$B108</f>
        <v>24</v>
      </c>
    </row>
    <row r="110" spans="1:5" x14ac:dyDescent="0.35">
      <c r="A110" s="1" t="s">
        <v>109</v>
      </c>
      <c r="B110" s="2">
        <f>$B$11*$B109</f>
        <v>768</v>
      </c>
    </row>
    <row r="111" spans="1:5" x14ac:dyDescent="0.35">
      <c r="A111" s="1" t="s">
        <v>111</v>
      </c>
      <c r="B111" s="10">
        <f>($B$17*$B108)+$B$59</f>
        <v>1064</v>
      </c>
    </row>
    <row r="112" spans="1:5" x14ac:dyDescent="0.35">
      <c r="A112" s="1" t="s">
        <v>113</v>
      </c>
      <c r="B112" s="39">
        <f>($B$18*$B109)+$B$114</f>
        <v>332.67039999999997</v>
      </c>
    </row>
    <row r="114" spans="1:2" x14ac:dyDescent="0.35">
      <c r="A114" s="1" t="s">
        <v>59</v>
      </c>
      <c r="B114" s="4">
        <v>25</v>
      </c>
    </row>
    <row r="116" spans="1:2" x14ac:dyDescent="0.35">
      <c r="A116" s="1" t="s">
        <v>80</v>
      </c>
      <c r="B116" s="5" t="b">
        <f>$I$2&gt;0</f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1F17F-3E6C-4057-9CD4-B6B39E8C2092}">
  <dimension ref="A1:I40"/>
  <sheetViews>
    <sheetView workbookViewId="0">
      <selection activeCell="K21" sqref="K21"/>
    </sheetView>
  </sheetViews>
  <sheetFormatPr defaultRowHeight="14.5" x14ac:dyDescent="0.35"/>
  <sheetData>
    <row r="1" spans="1:9" x14ac:dyDescent="0.35">
      <c r="A1" s="42" t="s">
        <v>123</v>
      </c>
    </row>
    <row r="2" spans="1:9" x14ac:dyDescent="0.35">
      <c r="A2" s="42"/>
    </row>
    <row r="3" spans="1:9" x14ac:dyDescent="0.35">
      <c r="A3" s="42" t="s">
        <v>124</v>
      </c>
    </row>
    <row r="4" spans="1:9" x14ac:dyDescent="0.35">
      <c r="A4" s="42"/>
    </row>
    <row r="5" spans="1:9" x14ac:dyDescent="0.35">
      <c r="A5" s="42" t="s">
        <v>125</v>
      </c>
    </row>
    <row r="6" spans="1:9" x14ac:dyDescent="0.35">
      <c r="A6" s="42"/>
    </row>
    <row r="7" spans="1:9" x14ac:dyDescent="0.35">
      <c r="A7" s="42" t="s">
        <v>126</v>
      </c>
    </row>
    <row r="8" spans="1:9" x14ac:dyDescent="0.35">
      <c r="A8" s="43" t="s">
        <v>127</v>
      </c>
    </row>
    <row r="9" spans="1:9" x14ac:dyDescent="0.35">
      <c r="A9" s="43" t="s">
        <v>128</v>
      </c>
    </row>
    <row r="10" spans="1:9" x14ac:dyDescent="0.35">
      <c r="A10" s="42"/>
    </row>
    <row r="11" spans="1:9" x14ac:dyDescent="0.35">
      <c r="A11" s="42" t="s">
        <v>129</v>
      </c>
    </row>
    <row r="12" spans="1:9" x14ac:dyDescent="0.35">
      <c r="A12" s="42" t="s">
        <v>130</v>
      </c>
    </row>
    <row r="13" spans="1:9" x14ac:dyDescent="0.35">
      <c r="A13" s="42"/>
    </row>
    <row r="14" spans="1:9" x14ac:dyDescent="0.35">
      <c r="A14" s="42"/>
    </row>
    <row r="15" spans="1:9" x14ac:dyDescent="0.35">
      <c r="A15" s="60" t="s">
        <v>131</v>
      </c>
      <c r="B15" s="60"/>
      <c r="C15" s="60"/>
      <c r="D15" s="44"/>
      <c r="E15" s="44"/>
      <c r="F15" s="44"/>
      <c r="G15" s="44"/>
      <c r="H15" s="45"/>
      <c r="I15" s="45"/>
    </row>
    <row r="16" spans="1:9" x14ac:dyDescent="0.35">
      <c r="A16" s="44"/>
      <c r="B16" s="46"/>
      <c r="C16" s="44"/>
      <c r="D16" s="44"/>
      <c r="E16" s="44"/>
      <c r="F16" s="44"/>
      <c r="G16" s="44"/>
      <c r="H16" s="45"/>
      <c r="I16" s="45"/>
    </row>
    <row r="17" spans="1:9" ht="15" thickBot="1" x14ac:dyDescent="0.4">
      <c r="A17" s="44"/>
      <c r="B17" s="46"/>
      <c r="C17" s="47" t="s">
        <v>132</v>
      </c>
      <c r="D17" s="47" t="s">
        <v>133</v>
      </c>
      <c r="E17" s="44"/>
      <c r="F17" s="44"/>
      <c r="G17" s="44"/>
      <c r="H17" s="45"/>
      <c r="I17" s="45"/>
    </row>
    <row r="18" spans="1:9" x14ac:dyDescent="0.35">
      <c r="A18" s="44"/>
      <c r="B18" s="44" t="s">
        <v>134</v>
      </c>
      <c r="C18" s="48">
        <v>10</v>
      </c>
      <c r="D18" s="48">
        <v>4</v>
      </c>
      <c r="E18" s="44"/>
      <c r="F18" s="44"/>
      <c r="G18" s="44"/>
      <c r="H18" s="45"/>
      <c r="I18" s="45"/>
    </row>
    <row r="19" spans="1:9" x14ac:dyDescent="0.35">
      <c r="A19" s="44"/>
      <c r="B19" s="44" t="s">
        <v>135</v>
      </c>
      <c r="C19" s="48">
        <v>8</v>
      </c>
      <c r="D19" s="48">
        <v>4</v>
      </c>
      <c r="E19" s="44"/>
      <c r="F19" s="44"/>
      <c r="G19" s="44"/>
      <c r="H19" s="45"/>
      <c r="I19" s="45"/>
    </row>
    <row r="20" spans="1:9" x14ac:dyDescent="0.35">
      <c r="A20" s="46"/>
      <c r="B20" s="44" t="s">
        <v>9</v>
      </c>
      <c r="C20" s="48">
        <v>4</v>
      </c>
      <c r="D20" s="48">
        <v>7</v>
      </c>
      <c r="E20" s="46"/>
      <c r="F20" s="46"/>
      <c r="G20" s="46"/>
      <c r="H20" s="45"/>
      <c r="I20" s="45"/>
    </row>
    <row r="21" spans="1:9" x14ac:dyDescent="0.35">
      <c r="A21" s="46"/>
      <c r="B21" s="44" t="s">
        <v>10</v>
      </c>
      <c r="C21" s="48">
        <v>4</v>
      </c>
      <c r="D21" s="48">
        <v>5</v>
      </c>
      <c r="E21" s="46"/>
      <c r="F21" s="46"/>
      <c r="G21" s="46"/>
      <c r="H21" s="45"/>
      <c r="I21" s="45"/>
    </row>
    <row r="22" spans="1:9" x14ac:dyDescent="0.35">
      <c r="A22" s="46"/>
      <c r="B22" s="46"/>
      <c r="C22" s="46"/>
      <c r="D22" s="46"/>
      <c r="E22" s="46"/>
      <c r="F22" s="46"/>
      <c r="G22" s="46"/>
      <c r="H22" s="45"/>
      <c r="I22" s="45"/>
    </row>
    <row r="23" spans="1:9" x14ac:dyDescent="0.35">
      <c r="A23" s="45"/>
      <c r="B23" s="45"/>
      <c r="C23" s="45"/>
      <c r="D23" s="45"/>
      <c r="E23" s="45"/>
      <c r="F23" s="45"/>
      <c r="G23" s="45"/>
      <c r="H23" s="45"/>
      <c r="I23" s="45"/>
    </row>
    <row r="24" spans="1:9" x14ac:dyDescent="0.35">
      <c r="A24" s="61" t="s">
        <v>136</v>
      </c>
      <c r="B24" s="61"/>
      <c r="C24" s="61"/>
      <c r="D24" s="61"/>
      <c r="E24" s="61"/>
      <c r="F24" s="61"/>
      <c r="G24" s="61"/>
      <c r="H24" s="49"/>
      <c r="I24" s="49"/>
    </row>
    <row r="25" spans="1:9" x14ac:dyDescent="0.35">
      <c r="A25" s="49"/>
      <c r="B25" s="49"/>
      <c r="C25" s="50"/>
      <c r="D25" s="49"/>
      <c r="E25" s="49"/>
      <c r="F25" s="49"/>
      <c r="G25" s="49"/>
      <c r="H25" s="49"/>
      <c r="I25" s="49"/>
    </row>
    <row r="26" spans="1:9" ht="15" thickBot="1" x14ac:dyDescent="0.4">
      <c r="A26" s="49"/>
      <c r="B26" s="49"/>
      <c r="C26" s="51" t="s">
        <v>132</v>
      </c>
      <c r="D26" s="51" t="s">
        <v>133</v>
      </c>
      <c r="E26" s="50"/>
      <c r="F26" s="49"/>
      <c r="G26" s="49"/>
      <c r="H26" s="49"/>
      <c r="I26" s="49"/>
    </row>
    <row r="27" spans="1:9" x14ac:dyDescent="0.35">
      <c r="A27" s="49"/>
      <c r="B27" s="50" t="s">
        <v>134</v>
      </c>
      <c r="C27" s="52">
        <v>2</v>
      </c>
      <c r="D27" s="53" t="s">
        <v>137</v>
      </c>
      <c r="E27" s="50"/>
      <c r="F27" s="62" t="s">
        <v>138</v>
      </c>
      <c r="G27" s="62"/>
      <c r="H27" s="49"/>
      <c r="I27" s="49"/>
    </row>
    <row r="28" spans="1:9" x14ac:dyDescent="0.35">
      <c r="A28" s="49"/>
      <c r="B28" s="50" t="s">
        <v>135</v>
      </c>
      <c r="C28" s="52">
        <v>2</v>
      </c>
      <c r="D28" s="52">
        <v>14</v>
      </c>
      <c r="E28" s="49"/>
      <c r="F28" s="62" t="s">
        <v>139</v>
      </c>
      <c r="G28" s="62"/>
      <c r="H28" s="49"/>
      <c r="I28" s="49"/>
    </row>
    <row r="29" spans="1:9" x14ac:dyDescent="0.35">
      <c r="A29" s="49"/>
      <c r="B29" s="50" t="s">
        <v>9</v>
      </c>
      <c r="C29" s="52">
        <v>2</v>
      </c>
      <c r="D29" s="52">
        <v>12</v>
      </c>
      <c r="E29" s="49"/>
      <c r="F29" s="63" t="s">
        <v>140</v>
      </c>
      <c r="G29" s="63"/>
      <c r="H29" s="63"/>
      <c r="I29" s="63"/>
    </row>
    <row r="30" spans="1:9" x14ac:dyDescent="0.35">
      <c r="A30" s="49"/>
      <c r="B30" s="50" t="s">
        <v>10</v>
      </c>
      <c r="C30" s="52">
        <v>2</v>
      </c>
      <c r="D30" s="52">
        <v>11</v>
      </c>
      <c r="E30" s="49"/>
      <c r="F30" s="49"/>
      <c r="G30" s="49"/>
      <c r="H30" s="49"/>
      <c r="I30" s="49"/>
    </row>
    <row r="31" spans="1:9" x14ac:dyDescent="0.35">
      <c r="A31" s="49"/>
      <c r="B31" s="49"/>
      <c r="C31" s="50"/>
      <c r="D31" s="50"/>
      <c r="E31" s="49"/>
      <c r="F31" s="49"/>
      <c r="G31" s="49"/>
      <c r="H31" s="49"/>
      <c r="I31" s="49"/>
    </row>
    <row r="32" spans="1:9" x14ac:dyDescent="0.35">
      <c r="A32" s="49"/>
      <c r="B32" s="50" t="s">
        <v>134</v>
      </c>
      <c r="C32" s="54">
        <v>4</v>
      </c>
      <c r="D32" s="54">
        <v>10</v>
      </c>
      <c r="E32" s="49"/>
      <c r="F32" s="49"/>
      <c r="G32" s="49"/>
      <c r="H32" s="49"/>
      <c r="I32" s="49"/>
    </row>
    <row r="33" spans="1:9" x14ac:dyDescent="0.35">
      <c r="A33" s="49"/>
      <c r="B33" s="50" t="s">
        <v>135</v>
      </c>
      <c r="C33" s="54">
        <v>4</v>
      </c>
      <c r="D33" s="54">
        <v>7</v>
      </c>
      <c r="E33" s="49"/>
      <c r="F33" s="49"/>
      <c r="G33" s="49"/>
      <c r="H33" s="49"/>
      <c r="I33" s="49"/>
    </row>
    <row r="34" spans="1:9" x14ac:dyDescent="0.35">
      <c r="A34" s="49"/>
      <c r="B34" s="50" t="s">
        <v>9</v>
      </c>
      <c r="C34" s="54">
        <v>4</v>
      </c>
      <c r="D34" s="54">
        <v>7</v>
      </c>
      <c r="E34" s="49"/>
      <c r="F34" s="49"/>
      <c r="G34" s="49"/>
      <c r="H34" s="49"/>
      <c r="I34" s="49"/>
    </row>
    <row r="35" spans="1:9" x14ac:dyDescent="0.35">
      <c r="A35" s="49"/>
      <c r="B35" s="50" t="s">
        <v>10</v>
      </c>
      <c r="C35" s="54">
        <v>4</v>
      </c>
      <c r="D35" s="54">
        <v>5</v>
      </c>
      <c r="E35" s="49"/>
      <c r="F35" s="49"/>
      <c r="G35" s="49"/>
      <c r="H35" s="49"/>
      <c r="I35" s="49"/>
    </row>
    <row r="36" spans="1:9" x14ac:dyDescent="0.35">
      <c r="A36" s="49"/>
      <c r="B36" s="49"/>
      <c r="C36" s="49"/>
      <c r="D36" s="49"/>
      <c r="E36" s="49"/>
      <c r="F36" s="49"/>
      <c r="G36" s="49"/>
      <c r="H36" s="49"/>
      <c r="I36" s="49"/>
    </row>
    <row r="37" spans="1:9" x14ac:dyDescent="0.35">
      <c r="A37" s="42"/>
    </row>
    <row r="38" spans="1:9" x14ac:dyDescent="0.35">
      <c r="A38" s="42" t="s">
        <v>141</v>
      </c>
    </row>
    <row r="39" spans="1:9" x14ac:dyDescent="0.35">
      <c r="A39" s="42"/>
    </row>
    <row r="40" spans="1:9" x14ac:dyDescent="0.35">
      <c r="A40" s="42" t="s">
        <v>142</v>
      </c>
    </row>
  </sheetData>
  <mergeCells count="5">
    <mergeCell ref="A15:C15"/>
    <mergeCell ref="A24:G24"/>
    <mergeCell ref="F27:G27"/>
    <mergeCell ref="F28:G28"/>
    <mergeCell ref="F29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Front Sheet</vt:lpstr>
      <vt:lpstr>Calcs</vt:lpstr>
      <vt:lpstr>Notes</vt:lpstr>
      <vt:lpstr>cartons</vt:lpstr>
      <vt:lpstr>casedFormat</vt:lpstr>
      <vt:lpstr>dest</vt:lpstr>
      <vt:lpstr>format</vt:lpstr>
      <vt:lpstr>illusExtent</vt:lpstr>
      <vt:lpstr>style</vt:lpstr>
      <vt:lpstr>textExtent</vt:lpstr>
    </vt:vector>
  </TitlesOfParts>
  <Company>Clays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Joyce</dc:creator>
  <cp:lastModifiedBy>Zuaira Islam</cp:lastModifiedBy>
  <dcterms:created xsi:type="dcterms:W3CDTF">2023-05-04T15:46:06Z</dcterms:created>
  <dcterms:modified xsi:type="dcterms:W3CDTF">2024-02-27T14:05:53Z</dcterms:modified>
</cp:coreProperties>
</file>